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Consolidado" sheetId="1" r:id="rId4"/>
    <sheet state="visible" name="Ries. Corr." sheetId="2" r:id="rId5"/>
    <sheet state="visible" name="Raci. Tram." sheetId="3" r:id="rId6"/>
    <sheet state="visible" name="Rend. Cuen." sheetId="4" r:id="rId7"/>
    <sheet state="visible" name="Aten. Ciud." sheetId="5" r:id="rId8"/>
    <sheet state="visible" name="Trans." sheetId="6" r:id="rId9"/>
    <sheet state="visible" name="Inic. Adic." sheetId="7" r:id="rId10"/>
    <sheet state="visible" name="Anexo - Estra. Raci. Tram." sheetId="8" r:id="rId11"/>
  </sheets>
  <definedNames>
    <definedName hidden="1" localSheetId="0" name="_xlnm._FilterDatabase">Consolidado!$A$8:$N$15</definedName>
    <definedName hidden="1" localSheetId="1" name="_xlnm._FilterDatabase">'Ries. Corr.'!$A$8:$L$15</definedName>
    <definedName hidden="1" localSheetId="2" name="_xlnm._FilterDatabase">'Raci. Tram.'!$A$8:$L$22</definedName>
    <definedName hidden="1" localSheetId="3" name="_xlnm._FilterDatabase">'Rend. Cuen.'!$A$8:$L$23</definedName>
    <definedName hidden="1" localSheetId="4" name="_xlnm._FilterDatabase">'Aten. Ciud.'!$A$8:$L$16</definedName>
    <definedName hidden="1" localSheetId="5" name="_xlnm._FilterDatabase">Trans.!$A$8:$L$14</definedName>
    <definedName hidden="1" localSheetId="6" name="_xlnm._FilterDatabase">'Inic. Adic.'!$A$8:$L$16</definedName>
    <definedName hidden="1" localSheetId="7" name="_xlnm._FilterDatabase">'Anexo - Estra. Raci. Tram.'!$A$8:$K$13</definedName>
    <definedName hidden="1" localSheetId="0" name="Z_3E260C3F_5F48_47E8_9319_1A3916EEB783_.wvu.FilterData">Consolidado!$E$8:$M$66</definedName>
    <definedName hidden="1" localSheetId="1" name="Z_3E260C3F_5F48_47E8_9319_1A3916EEB783_.wvu.FilterData">'Ries. Corr.'!$C$8:$K$14</definedName>
    <definedName hidden="1" localSheetId="2" name="Z_3E260C3F_5F48_47E8_9319_1A3916EEB783_.wvu.FilterData">'Raci. Tram.'!$C$8:$K$22</definedName>
    <definedName hidden="1" localSheetId="3" name="Z_3E260C3F_5F48_47E8_9319_1A3916EEB783_.wvu.FilterData">'Rend. Cuen.'!$C$8:$K$23</definedName>
    <definedName hidden="1" localSheetId="4" name="Z_3E260C3F_5F48_47E8_9319_1A3916EEB783_.wvu.FilterData">'Aten. Ciud.'!$C$8:$K$17</definedName>
    <definedName hidden="1" localSheetId="5" name="Z_3E260C3F_5F48_47E8_9319_1A3916EEB783_.wvu.FilterData">Trans.!$C$8:$K$14</definedName>
    <definedName hidden="1" localSheetId="6" name="Z_3E260C3F_5F48_47E8_9319_1A3916EEB783_.wvu.FilterData">'Inic. Adic.'!$C$8:$K$16</definedName>
    <definedName hidden="1" localSheetId="7" name="Z_3E260C3F_5F48_47E8_9319_1A3916EEB783_.wvu.FilterData">'Anexo - Estra. Raci. Tram.'!$C$8:$J$13</definedName>
  </definedNames>
  <calcPr/>
  <customWorkbookViews>
    <customWorkbookView activeSheetId="0" maximized="1" windowHeight="0" windowWidth="0" guid="{3E260C3F-5F48-47E8-9319-1A3916EEB783}" name="Filtro 1"/>
  </customWorkbookViews>
</workbook>
</file>

<file path=xl/sharedStrings.xml><?xml version="1.0" encoding="utf-8"?>
<sst xmlns="http://schemas.openxmlformats.org/spreadsheetml/2006/main" count="479" uniqueCount="263">
  <si>
    <r>
      <rPr>
        <rFont val="Arial"/>
        <b/>
        <color rgb="FF000000"/>
        <sz val="24.0"/>
      </rPr>
      <t xml:space="preserve">AUTORIDAD NACIONAL DE ACUICULTURA Y PESCA
</t>
    </r>
    <r>
      <rPr>
        <rFont val="Arial"/>
        <b/>
        <color rgb="FF000000"/>
        <sz val="18.0"/>
      </rPr>
      <t>Plan Anticorrupción y de Atención al Ciudadano 2022</t>
    </r>
  </si>
  <si>
    <t>GESTIÓN DEL RIESGO DE CORRUPCIÓN - MAPA DE RIESGOS CORRUPCIÓN</t>
  </si>
  <si>
    <t>Nro. ACT.</t>
  </si>
  <si>
    <t>COMPONENTE</t>
  </si>
  <si>
    <t>SUBCOMPONENTE</t>
  </si>
  <si>
    <t>ACTIVIDAD</t>
  </si>
  <si>
    <t>INDICADOR</t>
  </si>
  <si>
    <t>META</t>
  </si>
  <si>
    <t>EVIDENCIA / ENTREGABLE</t>
  </si>
  <si>
    <t>RESPONSABLE</t>
  </si>
  <si>
    <t>CUATRIMESTRE I</t>
  </si>
  <si>
    <t>CUATRIMESTRE II</t>
  </si>
  <si>
    <t>CUATRIMESTRE III</t>
  </si>
  <si>
    <r>
      <rPr>
        <rFont val="Arial"/>
        <b/>
        <color rgb="FF000000"/>
        <sz val="24.0"/>
      </rPr>
      <t xml:space="preserve">AUTORIDAD NACIONAL DE ACUICULTURA Y PESCA
</t>
    </r>
    <r>
      <rPr>
        <rFont val="Arial"/>
        <b/>
        <color rgb="FF000000"/>
        <sz val="18.0"/>
      </rPr>
      <t xml:space="preserve">Plan Anticorrupción y de Atención al Ciudadano 2022
</t>
    </r>
    <r>
      <rPr>
        <rFont val="Arial"/>
        <b/>
        <color rgb="FF000000"/>
        <sz val="9.0"/>
      </rPr>
      <t>Versión 1 - 31/01/2022</t>
    </r>
  </si>
  <si>
    <t>1</t>
  </si>
  <si>
    <t>Construcción mapa de riesgos</t>
  </si>
  <si>
    <t>Actualizar el Mapa Integral de Riesgos de la Entidad cuando el líder del proceso lo solicite.</t>
  </si>
  <si>
    <t>Mapa integral de Riesgos actualizado</t>
  </si>
  <si>
    <t>Mapa Integral de Riesgos actualizado y aprobado</t>
  </si>
  <si>
    <t>Líderes de los Procesos</t>
  </si>
  <si>
    <t>2</t>
  </si>
  <si>
    <t>Política de Administración de Riesgos de Corrupción</t>
  </si>
  <si>
    <t>Publicar para consulta con los grupos de interés de la Entidad el Mapa Integral de Riesgos de la Entidad.</t>
  </si>
  <si>
    <t>Versión Inicial del Mapa Integral de Riesgos publicado para consulta</t>
  </si>
  <si>
    <t>Documento Mapa de Riesgos publicado para consulta</t>
  </si>
  <si>
    <t>Planeación</t>
  </si>
  <si>
    <t>3</t>
  </si>
  <si>
    <t>Publicar en la página web de la Entidad la versión definitiva de Mapa Integral de Riesgos.</t>
  </si>
  <si>
    <t>Publicación la versión final de Mapa Integral de Riesgos.</t>
  </si>
  <si>
    <t>Mapa de Riesgos publicado</t>
  </si>
  <si>
    <t>4</t>
  </si>
  <si>
    <t>Realizar Talleres prácticos de Administración Integral de Riesgos</t>
  </si>
  <si>
    <t>Talleres prácticos de Administración Integral de Riesgos realizados</t>
  </si>
  <si>
    <t>Listados de Asistencias, Contenidos</t>
  </si>
  <si>
    <t>5</t>
  </si>
  <si>
    <t>Monitoreo y Revisión</t>
  </si>
  <si>
    <t xml:space="preserve">Realizar monitoreo y revisión de Autocontrol al Mapa Integral de Riesgos de la Entidad. </t>
  </si>
  <si>
    <t>Monitoreo realizado al Mapa Integral de Riesgos de la entidad</t>
  </si>
  <si>
    <t>Registro de la herramienta dispuesta por el grupo de planeación donde se evidencie el monitoreo y revisión de los riesgos asociados</t>
  </si>
  <si>
    <t>6</t>
  </si>
  <si>
    <t>Realizar monitoreo periódico de los riesgos de corrupción con base en la información que remitan los líderes de los procesos, por medio de las herramientas dispuestas por planeación y en las fechas establecidas.</t>
  </si>
  <si>
    <t>Informes publicados</t>
  </si>
  <si>
    <t>Informe de monitoreo de los riesgos con base en la información remitida por parte de los líderes de procesos.</t>
  </si>
  <si>
    <t>7</t>
  </si>
  <si>
    <t>Seguimiento</t>
  </si>
  <si>
    <t>Efectuar seguimientos al Plan Anticorrupción y de Atención al Ciudadano.</t>
  </si>
  <si>
    <t>Seguimiento cuatrimestral  efectuado al Plan Anticorrupción y de Atención al Ciudadano</t>
  </si>
  <si>
    <t>El informe al Plan Anticorrupción y de Atención al Ciudadano</t>
  </si>
  <si>
    <t>Control Interno</t>
  </si>
  <si>
    <r>
      <rPr>
        <rFont val="Arial"/>
        <b/>
        <color rgb="FF000000"/>
        <sz val="24.0"/>
      </rPr>
      <t xml:space="preserve">AUTORIDAD NACIONAL DE ACUICULTURA Y PESCA
</t>
    </r>
    <r>
      <rPr>
        <rFont val="Arial"/>
        <b/>
        <color rgb="FF000000"/>
        <sz val="18.0"/>
      </rPr>
      <t xml:space="preserve">Plan Anticorrupción y de Atención al Ciudadano 2022
</t>
    </r>
    <r>
      <rPr>
        <rFont val="Arial"/>
        <b/>
        <color rgb="FF000000"/>
        <sz val="9.0"/>
      </rPr>
      <t>Versión 1 - 31/01/2022</t>
    </r>
  </si>
  <si>
    <t>RACIONALIZACIÓN DE TRAMITES</t>
  </si>
  <si>
    <t>EVIDENCIA / META / PRODUCTO</t>
  </si>
  <si>
    <t xml:space="preserve">Lineamientos Generales </t>
  </si>
  <si>
    <t xml:space="preserve">Elaboración en SUIT y publicación de la estrategia de racionalización de trámites en pagina WEB </t>
  </si>
  <si>
    <t xml:space="preserve">Estrategia de racionalización de trámites elaborada en SUIT y publicada en pagina WEB de la Entidad </t>
  </si>
  <si>
    <t xml:space="preserve">Documento Estrategia de Racionalización de Trámites- SUIT publicada en pagina WEB de la Entidad  y en el link de transparencia </t>
  </si>
  <si>
    <t xml:space="preserve">DTAF </t>
  </si>
  <si>
    <t>Publicar los trámites registrados en SUIT enlazado con GOV.CO</t>
  </si>
  <si>
    <r>
      <rPr>
        <rFont val="Arial"/>
        <color theme="1"/>
        <sz val="8.0"/>
      </rPr>
      <t xml:space="preserve">Tramites registrados en SUIT publicados en pagina WEB de la Entidad y enlazado con </t>
    </r>
    <r>
      <rPr>
        <rFont val="Arial"/>
        <color rgb="FF1155CC"/>
        <sz val="8.0"/>
        <u/>
      </rPr>
      <t>GOV.CO</t>
    </r>
  </si>
  <si>
    <r>
      <rPr>
        <rFont val="Arial"/>
        <color rgb="FF000000"/>
        <sz val="8.0"/>
      </rPr>
      <t xml:space="preserve">Publicación link de transparencia de los tramites registrados en SUIT y enlazado con </t>
    </r>
    <r>
      <rPr>
        <rFont val="Arial"/>
        <color rgb="FF1155CC"/>
        <sz val="8.0"/>
        <u/>
      </rPr>
      <t>GOV.CO</t>
    </r>
  </si>
  <si>
    <t xml:space="preserve">Desarrollo de mesas de trabajo con Función Pública para establecer la pertinencia y estandarización de pasos, trámites modelo o  formularios únicos o estrategias de racionalización de tramites </t>
  </si>
  <si>
    <t>Mesas de trabajo con Función Pública desarroladas</t>
  </si>
  <si>
    <t xml:space="preserve">Actas de reunión o listado de asistencia </t>
  </si>
  <si>
    <t>Publicación en pagina WEB habilitación de botón de pago electrónico PSI</t>
  </si>
  <si>
    <t>Numero de publicaciones oficiales sobre la habilitación de botón de pago electrónico PSI</t>
  </si>
  <si>
    <t xml:space="preserve">Publicaciones oficiales </t>
  </si>
  <si>
    <t>Publicaciones en pagina WEB de la actualización normativa referente a trámites de la entidad</t>
  </si>
  <si>
    <t xml:space="preserve">Numero de publicaciones de actualización normativa referente a trámites de la entidad publicado en la pagina WEB </t>
  </si>
  <si>
    <t xml:space="preserve">Publicaciones en pagina WEB de la actualización normativa referente a tramites </t>
  </si>
  <si>
    <t xml:space="preserve">Publicar la encuesta de tramites de la AUNAP en pagina WEB y otros medios  </t>
  </si>
  <si>
    <t xml:space="preserve">Numero de publicaciones de la encuesta en pagina web y otros medios de la Entidad </t>
  </si>
  <si>
    <t xml:space="preserve">Publicaciones de la encuesta en pagina web y otros medios de la Entidad </t>
  </si>
  <si>
    <t>Publicar las tasas y/o derechos de los tramites que tiene la Entidad</t>
  </si>
  <si>
    <t xml:space="preserve">Numero de publicaciones en pagina web de las tasas y/o derechos de los tramites de la Entidad </t>
  </si>
  <si>
    <t xml:space="preserve">Publicaciones en pagina web de las tasas y/o derechos de los tramites de la Entidad </t>
  </si>
  <si>
    <t>8</t>
  </si>
  <si>
    <t xml:space="preserve">Realizar Instagram live de tramites para participación ciudadana </t>
  </si>
  <si>
    <t xml:space="preserve">Instagram live de tramites para participación ciudadana realizados </t>
  </si>
  <si>
    <t xml:space="preserve">Pantallazos de Instragram live realizados </t>
  </si>
  <si>
    <t>9</t>
  </si>
  <si>
    <t>Plan de actividades cumplimiento Decreto 088 de 24 de enero 2022</t>
  </si>
  <si>
    <t xml:space="preserve">Plan de actividades Decreto 088 de 24 de enero 2022 elaborado </t>
  </si>
  <si>
    <t xml:space="preserve">Matriz Plan de actividades Decreto 088 de 24 de enero 2022 con las evidencias planteadas </t>
  </si>
  <si>
    <t>10</t>
  </si>
  <si>
    <t>Identificación y conformación de equipo de trabajo para desarrollar las acciones de priorización de los trámites</t>
  </si>
  <si>
    <t xml:space="preserve">Grupo de trabajo conformado </t>
  </si>
  <si>
    <t xml:space="preserve">Acta de conformación del equipo de trabajo. </t>
  </si>
  <si>
    <t>11</t>
  </si>
  <si>
    <t xml:space="preserve">Diagnóstico para determinar el 30%: cuatro de los catorce trámites, para priorizar en digitalización y automatización. </t>
  </si>
  <si>
    <t xml:space="preserve">Diagnostico de priorización de tramites elaborado </t>
  </si>
  <si>
    <t>Acta de comité institucional de gestión y desempeño con aprobación de la priorización de los trámites</t>
  </si>
  <si>
    <t>12</t>
  </si>
  <si>
    <t xml:space="preserve">Construcción del documento de requerimientos técnicos de los trámites. </t>
  </si>
  <si>
    <t xml:space="preserve">Documento de requimientos tecnicos de los tramites elaborado  </t>
  </si>
  <si>
    <t>Anexo técnico</t>
  </si>
  <si>
    <t>13</t>
  </si>
  <si>
    <t>Estudios de mercado y evaluación de presupuesto</t>
  </si>
  <si>
    <t xml:space="preserve">Estudio de mercado y evaluacion de presupuesto elaborado </t>
  </si>
  <si>
    <t xml:space="preserve">Anexo técnico de estudios de mercado. </t>
  </si>
  <si>
    <t>14</t>
  </si>
  <si>
    <t>Digitalizar y automatizar cuatro trámites priorizados</t>
  </si>
  <si>
    <t xml:space="preserve">Digitalización y automatizacion de los tramites priorizados </t>
  </si>
  <si>
    <t xml:space="preserve">Digitalizacion y automatizacion </t>
  </si>
  <si>
    <r>
      <rPr>
        <rFont val="Arial"/>
        <b/>
        <color rgb="FF000000"/>
        <sz val="24.0"/>
      </rPr>
      <t xml:space="preserve">AUTORIDAD NACIONAL DE ACUICULTURA Y PESCA
</t>
    </r>
    <r>
      <rPr>
        <rFont val="Arial"/>
        <b/>
        <color rgb="FF000000"/>
        <sz val="18.0"/>
      </rPr>
      <t xml:space="preserve">Plan Anticorrupción y de Atención al Ciudadano 2022
</t>
    </r>
    <r>
      <rPr>
        <rFont val="Arial"/>
        <b/>
        <color rgb="FF000000"/>
        <sz val="9.0"/>
      </rPr>
      <t>Versión 1 - 31/01/2022</t>
    </r>
  </si>
  <si>
    <t>RENDICIÓN DE CUENTAS</t>
  </si>
  <si>
    <t>Información</t>
  </si>
  <si>
    <t>Conformación del Equipo líder del proceso de Rendición de Cuentas</t>
  </si>
  <si>
    <t>acta de conformación de Equipo de trabajo de RDC</t>
  </si>
  <si>
    <t>acta Conformación del Equipo de trabajo RDC</t>
  </si>
  <si>
    <t xml:space="preserve">Dirección General </t>
  </si>
  <si>
    <t>Establecer y divulgar el cronograma que identifica y define los espacios de diálogo y/o eventos de la entidad</t>
  </si>
  <si>
    <t>Cronograma publicado de espacios de diálogo y/o eventos</t>
  </si>
  <si>
    <t>Cronograma publicado</t>
  </si>
  <si>
    <t>Comunicaciones</t>
  </si>
  <si>
    <t>Elaborar la Estrategia Rendición de Cuentas - Rdc</t>
  </si>
  <si>
    <t>Estrategia de Rendición de Cuentas Elaborada y Publicada</t>
  </si>
  <si>
    <t>Documento Estrategia de Rendición de cuentas publicado</t>
  </si>
  <si>
    <t>Equipo de trabajo RDC</t>
  </si>
  <si>
    <t>Consolidar y publicar la Estrategia Rendición de Cuentas - Rdc</t>
  </si>
  <si>
    <t>Elaborar y Publicar Informe de Gestión de la Entidad vigencia 2021</t>
  </si>
  <si>
    <t>Informe de gestión institucional publicado</t>
  </si>
  <si>
    <t>Informe de gestión publicado</t>
  </si>
  <si>
    <t>Publicar información de interés y/o de gestión de la Entidad a través de los diferentes canales de comunicación disponibles por la entidad (Redes sociales, página web, intranet), así como en otros medios de comunicación masiva accesibles</t>
  </si>
  <si>
    <t>Publicaciones realizadas</t>
  </si>
  <si>
    <t>Piezas comunicativas, memes, tuits o vídeos, boletines</t>
  </si>
  <si>
    <t>Publicar información sobre la estrategia "Agricultura por contrato" en los diferentes canales de comunicación dispuestos por la entidad,</t>
  </si>
  <si>
    <t>Piezas comunicativas, memes, tuits o vídeos, boletines, notas, post</t>
  </si>
  <si>
    <t>Publicar en medios Free Press información de gestión institucional para los diferentes grupos de interés o en los diferentes canales de comunicación dispuestos por la entidad.</t>
  </si>
  <si>
    <t xml:space="preserve">Realizar y/o participar de espacios de comunicacion, diálogo, eventos,  que faciliten la interlocución y el conocimiento de la entidad con los diferentes grupos de valor para fortalecer el posicionamiento institucional. </t>
  </si>
  <si>
    <t xml:space="preserve">Espacios de comunicación,  dialogo, eventos, realizados </t>
  </si>
  <si>
    <t>Espacios de comunicacion y/o eventos (Puede ser Transmisión, fotografias, publicaciones, boletines o piezas graficas o convocatoria, etc)</t>
  </si>
  <si>
    <t>Diálogo</t>
  </si>
  <si>
    <t>Convocar a la ciudadanía y demás grupos de interés a participar en el proceso de Audiencia Pública de Rendición de Cuentas - Rdc</t>
  </si>
  <si>
    <t>Convocatoria realizada a proceso de Rendición de Cuentas</t>
  </si>
  <si>
    <t>Piezas comunicativas, memes, tuits o vídeos, invitaciones</t>
  </si>
  <si>
    <t>Realizar Audiencia Pública de Rendición de Cuentas - Rdc</t>
  </si>
  <si>
    <t>Audiencia Pública de Rendición de Cuentas realizada</t>
  </si>
  <si>
    <t>Presentación, Fotos, Listados de Asistencia, Informe de memoria</t>
  </si>
  <si>
    <t>Realizar encuesta de percepción del proceso de Rendición de Cuentas - RdC</t>
  </si>
  <si>
    <t>Encuesta de percepción realizada</t>
  </si>
  <si>
    <t>Informe resultado encuesta</t>
  </si>
  <si>
    <t>Responsabilidad</t>
  </si>
  <si>
    <t>Retroalimentar la  Estrategia del proceso de Rendición de Cuentas - Rdc</t>
  </si>
  <si>
    <t>Documento de evaluación de la estrategia de Rendición de Cuentas - RdC elaborado</t>
  </si>
  <si>
    <t>Documento de memoria de la estrategia del proceso de RdC</t>
  </si>
  <si>
    <t>Elaborar y divulgar el documento de memoria de la estrategia del proceso de Rendición de Cuentas - RdC</t>
  </si>
  <si>
    <t>Documento de memoria de la estrategia del proceso de RdC publicado</t>
  </si>
  <si>
    <t>Documento publicado página web</t>
  </si>
  <si>
    <t>15</t>
  </si>
  <si>
    <t>Reportar al equipo de trabajo de rendición de cuentas sobre los espacios de diálogo realizados desde las diferentes áreas de la entidad</t>
  </si>
  <si>
    <t>reporte de los espacios de diálogo realizados desde las diferentes áreas de la entidad</t>
  </si>
  <si>
    <t>Formato Interno reporte de actividades</t>
  </si>
  <si>
    <r>
      <rPr>
        <rFont val="Arial"/>
        <b/>
        <color rgb="FF000000"/>
        <sz val="24.0"/>
      </rPr>
      <t xml:space="preserve">AUTORIDAD NACIONAL DE ACUICULTURA Y PESCA
</t>
    </r>
    <r>
      <rPr>
        <rFont val="Arial"/>
        <b/>
        <color rgb="FF000000"/>
        <sz val="18.0"/>
      </rPr>
      <t xml:space="preserve">Plan Anticorrupción y de Atención al Ciudadano 2022
</t>
    </r>
    <r>
      <rPr>
        <rFont val="Arial"/>
        <b/>
        <color rgb="FF000000"/>
        <sz val="9.0"/>
      </rPr>
      <t>Versión 1 - 31/01/2022</t>
    </r>
  </si>
  <si>
    <t>MECANISMOS PARA MEJORAR LA ATENCIÓN AL CIUDADANO</t>
  </si>
  <si>
    <t>Direccionamiento estratégico y planeación</t>
  </si>
  <si>
    <t>Coordinar la realización de  la caracterización de grupos de valor para la vigencia 2022</t>
  </si>
  <si>
    <t>Caracterización de grupos de valor de la entidad</t>
  </si>
  <si>
    <t>Administrativa y Atención a la Ciudadanía</t>
  </si>
  <si>
    <t>Fortalecimiento del talento humano al servicio del ciudadano</t>
  </si>
  <si>
    <t>Divulgar a los usuarios el protocolo de servicio al ciudadano.</t>
  </si>
  <si>
    <t>Protocolo divulgado</t>
  </si>
  <si>
    <t>Presentaciones Presenciales y/o Virtuales, actas de asistencia, fotos, etc.</t>
  </si>
  <si>
    <t>Incluir en el Plan Institucional de Capacitación temáticas relacionadas con el mejoramiento del servicio al ciudadano</t>
  </si>
  <si>
    <t>Plan Institucional de Capacitación formulado y aprobado</t>
  </si>
  <si>
    <t>Documento Aprobado y Publicado</t>
  </si>
  <si>
    <t>Talento Humano</t>
  </si>
  <si>
    <t>Gestión de relacionamiento con los ciudadanos</t>
  </si>
  <si>
    <t>Actualizar la Estrategia de Atención y Servicio al Ciudadano y publicarla página WEB</t>
  </si>
  <si>
    <t>Estrategia de Atención y Servicio al Ciudadano elaborada y Publicada</t>
  </si>
  <si>
    <t>Documento Estrategia de Atención y Servicio al Ciudadano publicada</t>
  </si>
  <si>
    <t>Elaborar informes cuatrimestrales donde se muestre la gestión de las pqrsd a nivel nacional</t>
  </si>
  <si>
    <t>Informes de atención al ciudadano sobre las pqrsd</t>
  </si>
  <si>
    <t>informes tabulados</t>
  </si>
  <si>
    <t xml:space="preserve">Actualizar  y divulgar la carta de trato digno </t>
  </si>
  <si>
    <t>Documento publicado del procedimiento del proceso de atención al ciudadano de la AUNAP</t>
  </si>
  <si>
    <t>Procedimiento del proceso de atención al ciudadano de la AUNAP publicado</t>
  </si>
  <si>
    <t>Evaluación de gestión y medición de la percepción ciudadana​</t>
  </si>
  <si>
    <t xml:space="preserve">Realizar mediciones de percepción de los ciudadanos respecto a la calidad y accesibilidad de la oferta institucional y el servicio recibido, </t>
  </si>
  <si>
    <t>Medición de percepción realizada</t>
  </si>
  <si>
    <t>Informe resultado de la medición</t>
  </si>
  <si>
    <t xml:space="preserve">Elaboración del plan de participación ciudadana </t>
  </si>
  <si>
    <t xml:space="preserve"> plan de participación ciudadana elaborado </t>
  </si>
  <si>
    <t>Plan de participación aprobado</t>
  </si>
  <si>
    <r>
      <rPr>
        <rFont val="Arial"/>
        <b/>
        <color rgb="FF000000"/>
        <sz val="24.0"/>
      </rPr>
      <t xml:space="preserve">AUTORIDAD NACIONAL DE ACUICULTURA Y PESCA
</t>
    </r>
    <r>
      <rPr>
        <rFont val="Arial"/>
        <b/>
        <color rgb="FF000000"/>
        <sz val="18.0"/>
      </rPr>
      <t xml:space="preserve">Plan Anticorrupción y de Atención al Ciudadano 2022
</t>
    </r>
    <r>
      <rPr>
        <rFont val="Arial"/>
        <b/>
        <color rgb="FF000000"/>
        <sz val="9.0"/>
      </rPr>
      <t>Versión 1 - 31/01/2022</t>
    </r>
  </si>
  <si>
    <t>MECANISMOS PARA LA TRANSPARENCIA Y ACCESO A LA INFORMACIÓN</t>
  </si>
  <si>
    <t>Lineamientos de Transparencia Activa</t>
  </si>
  <si>
    <t>Mantener actualizado el link de Transparencia con los lineamientos y documentos para la información a la ciudadanía</t>
  </si>
  <si>
    <t>Link de espacio de Transparencia</t>
  </si>
  <si>
    <t>Link pagina web actualizado</t>
  </si>
  <si>
    <t>Oficina de Generación del Conocimiento y la Información</t>
  </si>
  <si>
    <t>Publicar el Plan Anual de Adquisiciones 2022 y sus actualizaciones por medio del portal web de la entidad y el Secop II</t>
  </si>
  <si>
    <t>Publicación del Plan Anual de Adquisiciones</t>
  </si>
  <si>
    <t>Plan de Acción Publicado</t>
  </si>
  <si>
    <t>Realizar publicación de la ejecución presupuestal de la entidad, por medio del botón de transparencia, seguido de presupuesto ubicado en el portal web</t>
  </si>
  <si>
    <t>Publicación de ejecución Presupuestal</t>
  </si>
  <si>
    <t>Ejecución presupuestal Publicada</t>
  </si>
  <si>
    <t>Financiera</t>
  </si>
  <si>
    <t>Realizar diagnóstico de la implementación de la Estrategia de Gobierno Digital (antes Gobierno en Línea)</t>
  </si>
  <si>
    <t>Diagnóstico Estrategia Gobierno Digital realizado</t>
  </si>
  <si>
    <t xml:space="preserve">Documento con el Diagnóstico de Estrategia Digital Actualizado que será publicado en la  página web de la entidad.   
</t>
  </si>
  <si>
    <t>Elaboración los Instrumentos de Gestión de la Información</t>
  </si>
  <si>
    <t>Revisar, actualizar y publicar la estrategia de tecnologías de información institucional (TI) para incorporar la seguridad de la información, la ciberseguridad, la privacidad y los datos personales considerando la seguridad</t>
  </si>
  <si>
    <t xml:space="preserve">Publicación de estrategia de tecnologías de información institucional (TI) </t>
  </si>
  <si>
    <t>Estrategia de tecnologías de información institucional (TI) publicada</t>
  </si>
  <si>
    <t>Monitoreo del Acceso a la Información Pública</t>
  </si>
  <si>
    <t>Elaborar informes bimestrales de las peticiones ingresadas, respondidas y temas más frecuentes y tiempos de respuesta. </t>
  </si>
  <si>
    <t>Monitoreo a las peticiones respondidas oportunamente</t>
  </si>
  <si>
    <t>Informe sobre las peticiones respondidas oportunamente</t>
  </si>
  <si>
    <r>
      <rPr>
        <rFont val="Arial"/>
        <b/>
        <color rgb="FF000000"/>
        <sz val="24.0"/>
      </rPr>
      <t xml:space="preserve">AUTORIDAD NACIONAL DE ACUICULTURA Y PESCA
</t>
    </r>
    <r>
      <rPr>
        <rFont val="Arial"/>
        <b/>
        <color rgb="FF000000"/>
        <sz val="18.0"/>
      </rPr>
      <t xml:space="preserve">Plan Anticorrupción y de Atención al Ciudadano 2022
</t>
    </r>
    <r>
      <rPr>
        <rFont val="Arial"/>
        <b/>
        <color rgb="FF000000"/>
        <sz val="9.0"/>
      </rPr>
      <t>Versión 1 - 31/01/2022</t>
    </r>
  </si>
  <si>
    <t>INICIATIVAS ADICIONALES</t>
  </si>
  <si>
    <t>Gestión de Integridad</t>
  </si>
  <si>
    <t>Conformación del Equipo líder del proceso gestión de integridad</t>
  </si>
  <si>
    <t>Acta de conformación de equipo líder del proceso GI</t>
  </si>
  <si>
    <t>Acta Conformación del Comité</t>
  </si>
  <si>
    <t>Realizar jornadas de socializar y promoción de los valores del servicio Publico</t>
  </si>
  <si>
    <t>Sensibilización en los valores del servicio Publico</t>
  </si>
  <si>
    <t>Vincular a los servidores públicos, incluyendo contratistas al Curso Virtual de Integridad, Transparencia y Lucha contra la Corrupción</t>
  </si>
  <si>
    <t>Seguimiento al desarrollo del Curso Virtual de Integridad, Transparencia y Lucha contra la Corrupción​</t>
  </si>
  <si>
    <t>Matriz de monitoreo al desarrollo del Curso Virtual de Integridad, Transparencia y Lucha contra la Corrupción​</t>
  </si>
  <si>
    <t>Difundir y gestionar capacitaciones para fortalecer en lo servidores públicos los valores de Integridad y Transparencia</t>
  </si>
  <si>
    <t>Capacitación en la iniciativa conflicto de intereses</t>
  </si>
  <si>
    <t>Desarrollar campañas de sensibilización del código de integridad, siguiendo las guías de la caja de herramientas ofrecidas por Función Pública</t>
  </si>
  <si>
    <t>Conflicto de Intereses</t>
  </si>
  <si>
    <t>Promover espacios de capacitación en temas relacionados sobre conflicto de intereses</t>
  </si>
  <si>
    <t>Control Interno Disciplinario</t>
  </si>
  <si>
    <t>Elaborar la estrategia para la gestión de conflicto de intereses</t>
  </si>
  <si>
    <t>Estrategia de para la gestión de conflicto de intereses</t>
  </si>
  <si>
    <t>Documento con la Estrategia para la gestión de conflicto de intereses</t>
  </si>
  <si>
    <t>Realizar seguimiento a la publicación de la declaración de bienes, rentas y conflictos de intereses de los servidores públicos, incluyendo contratistas</t>
  </si>
  <si>
    <t>Seguimiento a publicación de la declaración de bienes, rentas y conflictos de intereses de los servidores públicos, incluyendo contratistas</t>
  </si>
  <si>
    <t>Matriz con la relación sobre la publicación de las declaración de bienes, rentas y conflictos de intereses de los servidores públicos, incluyendo contratistas</t>
  </si>
  <si>
    <t>Talento Humano - Gestión Contractual</t>
  </si>
  <si>
    <r>
      <rPr>
        <rFont val="Arial"/>
        <b/>
        <color rgb="FF000000"/>
        <sz val="24.0"/>
      </rPr>
      <t xml:space="preserve">AUTORIDAD NACIONAL DE ACUICULTURA Y PESCA
</t>
    </r>
    <r>
      <rPr>
        <rFont val="Arial"/>
        <b/>
        <color rgb="FF000000"/>
        <sz val="18.0"/>
      </rPr>
      <t>Plan Anticorrupción y de Atención al Ciudadano 2022</t>
    </r>
  </si>
  <si>
    <t>RACIONALIZACIÓN DE TRÁMITES</t>
  </si>
  <si>
    <t>ACCIÓN A SEGUIR 2022</t>
  </si>
  <si>
    <t>DEFINICIÓN DEL TRÁMITE</t>
  </si>
  <si>
    <t>ENTREGABLE / PRODUCTO</t>
  </si>
  <si>
    <t>RUTA DE TRABAJO / ACTIVIDAD</t>
  </si>
  <si>
    <t>FECHA INICIO</t>
  </si>
  <si>
    <t>FECHA FIN</t>
  </si>
  <si>
    <t>BENEFICIO PARA EL CIUDADANO O LA ENTIDAD</t>
  </si>
  <si>
    <t>ÁREA RESPONSABLE</t>
  </si>
  <si>
    <t>"El permiso de pesca deportiva para personas naturales nacionales y extranjeras se otorgará hasta por cinco (5) años, para lo cual aplicarán los siguientes rangos de tiempo, según la necesidad del interesado.
* Hasta dos (2) meses.
* Hasta seis (6) meses.
* Hasta doce (12) meses.
* Más de un (1) año."</t>
  </si>
  <si>
    <t xml:space="preserve">Permiso de pesca deportiva: </t>
  </si>
  <si>
    <t xml:space="preserve">Actas de reunión o listados de Asistencia y publicación de racionalización en pagina web </t>
  </si>
  <si>
    <t xml:space="preserve">Ampliación de categorias de vigencias en el permiso de pesca deportiva </t>
  </si>
  <si>
    <t xml:space="preserve">Implementación de nuevas categorías de tiempos de expedición para el permiso según la necesidad del beneficiario.	</t>
  </si>
  <si>
    <t xml:space="preserve">DIRECCIÓN TECNICA DE ADMINISTRACION Y FOMENTO </t>
  </si>
  <si>
    <t>El permiso de comercialización para personas jurídicas (Pequeños comerciante) quedará de la siguiente manera: Las personas jurídicas (organizaciones, empresas, cooperativas y asociaciones) podrán obtener permiso de comercialización como pequeños comerciantes.</t>
  </si>
  <si>
    <t>Permiso de comercialización de productos pesqueros</t>
  </si>
  <si>
    <t xml:space="preserve">Se otorga permiso de Pequeño Comerciante tambien a las personas juridicas. </t>
  </si>
  <si>
    <t>Se amplía la cobertura del trámite, con el propósito de atender además de las personas naturales, a las personas jurídicas, siempre y cuando cumplan con los requisitos mínimos de comercialización estipulados para pequeños comerciantes.</t>
  </si>
  <si>
    <t>Revisados los artículos 78, 91, 92 y 93 del Decreto 2256 de 1991 compilados por sus artículos 2.16.5.2.5.2., 2.16.5.2.10.1., 2.16.5.2.10. y 2.16.5.2.10.3. del Decreto 1071 de 2015 se puede concluir que no está en cabeza de la AUNAP la exigencia de este requisito, sino por el contrario es la respectiva Autoridad Ambiental la que debe expedir dicha resolución.</t>
  </si>
  <si>
    <t xml:space="preserve">Permiso de pesca de investigación </t>
  </si>
  <si>
    <t>Para el tramite de investigación, se elimina requisiito de acreditación de copia de la resolución de uso de aguas, esto para que se fomente la formalización de acuicultores en el territorio Nacional</t>
  </si>
  <si>
    <t>No se exigirá como requisito la copia de la resolución de uso de aguas para la obtención del permiso de investigación</t>
  </si>
  <si>
    <t>La resolución 2363 de 2020  tiene como requisito para la obtención de los permisos de cultivo, la copia de la resolución de uso del agua (concesión de aguas) expedida por la Autoridad Ambiental correspondiente</t>
  </si>
  <si>
    <t>Permiso de cultivo para especies acuaticas</t>
  </si>
  <si>
    <t>Para el tramite de Cultivo, se elimina requisiito de acreditación de copia de la resolución de uso de aguas, esto para que se fomente la formalización de acuicultores en el territorio Nacional</t>
  </si>
  <si>
    <t>No se exigirá como requisito la copia de la resolución de uso de aguas para la obtención del permiso de cultivo</t>
  </si>
  <si>
    <t>En aras de facilitar el acceso a los recursos para la financiación o cofinanciación de proyectos productivos en acuicultura a través del Sistema General de Regalías (SGR) por parte de los potenciales beneficiarios de los mismos, la AUNAP podrá otorgar el permiso de cultivo sin la realización inicial de la inspección ocular, por lo que se tendrá en cuenta la ficha de Concepto Técnico emitida por el respectivo funcionario y/o contratista de la entidad en Dirección Regional correspondiente, la cual se realizará con base en lo manifestado en el Plan de Actividades aportado por el interesado, sin detrimento del aporte de los demás requisitos establecidos y exigidos.</t>
  </si>
  <si>
    <t xml:space="preserve">Se elimina visita de inspección ocular por parte de la AUNAP, para el caso de acuicultores que requieran el acceso a los recursos para la financiación de proyectos productivos en acuicultura por parte de los potenciales beneficiarios </t>
  </si>
  <si>
    <t>Simplificación del tramite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</si>
</sst>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13">
    <font>
      <sz val="10.0"/>
      <color rgb="FF000000"/>
      <name val="Calibri"/>
      <scheme val="minor"/>
    </font>
    <font>
      <color theme="1"/>
      <name val="Calibri"/>
      <scheme val="minor"/>
    </font>
    <font>
      <b/>
      <u/>
      <sz val="18.0"/>
      <color rgb="FF000000"/>
      <name val="Arial"/>
    </font>
    <font>
      <b/>
      <sz val="24.0"/>
      <color rgb="FF000000"/>
      <name val="Arial"/>
    </font>
    <font/>
    <font>
      <b/>
      <sz val="9.0"/>
      <color rgb="FFFFFFFF"/>
      <name val="Arial"/>
    </font>
    <font>
      <sz val="8.0"/>
      <color rgb="FF404040"/>
      <name val="Arial"/>
    </font>
    <font>
      <sz val="8.0"/>
      <color rgb="FF000000"/>
      <name val="Arial"/>
    </font>
    <font>
      <sz val="8.0"/>
      <color theme="1"/>
      <name val="Arial"/>
    </font>
    <font>
      <color theme="0"/>
      <name val="Calibri"/>
      <scheme val="minor"/>
    </font>
    <font>
      <u/>
      <sz val="8.0"/>
      <color theme="1"/>
      <name val="Arial"/>
    </font>
    <font>
      <u/>
      <sz val="8.0"/>
      <color rgb="FF000000"/>
      <name val="Arial"/>
    </font>
    <font>
      <b/>
      <color theme="1"/>
      <name val="Calibri"/>
      <scheme val="minor"/>
    </font>
  </fonts>
  <fills count="6">
    <fill>
      <patternFill patternType="none"/>
    </fill>
    <fill>
      <patternFill patternType="lightGray"/>
    </fill>
    <fill>
      <patternFill patternType="solid">
        <fgColor rgb="FFFFFFFF"/>
        <bgColor rgb="FFFFFFFF"/>
      </patternFill>
    </fill>
    <fill>
      <patternFill patternType="solid">
        <fgColor rgb="FF3C78D8"/>
        <bgColor rgb="FF3C78D8"/>
      </patternFill>
    </fill>
    <fill>
      <patternFill patternType="solid">
        <fgColor rgb="FFEFEFEF"/>
        <bgColor rgb="FFEFEFEF"/>
      </patternFill>
    </fill>
    <fill>
      <patternFill patternType="solid">
        <fgColor rgb="FFFFF2CC"/>
        <bgColor rgb="FFFFF2CC"/>
      </patternFill>
    </fill>
  </fills>
  <borders count="23">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2" fontId="3" numFmtId="0" xfId="0" applyAlignment="1" applyBorder="1" applyFont="1">
      <alignment horizontal="center" readingOrder="0" shrinkToFit="0" vertical="center" wrapText="1"/>
    </xf>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2" fillId="3" fontId="5" numFmtId="0" xfId="0" applyAlignment="1" applyBorder="1" applyFill="1" applyFont="1">
      <alignment horizontal="center" readingOrder="0" shrinkToFit="0" vertical="center" wrapText="1"/>
    </xf>
    <xf borderId="10" fillId="3" fontId="5" numFmtId="0" xfId="0" applyAlignment="1" applyBorder="1" applyFont="1">
      <alignment horizontal="center" shrinkToFit="0" vertical="center" wrapText="1"/>
    </xf>
    <xf borderId="11" fillId="3" fontId="5" numFmtId="0" xfId="0" applyAlignment="1" applyBorder="1" applyFont="1">
      <alignment horizontal="center" readingOrder="0" shrinkToFit="0" vertical="center" wrapText="1"/>
    </xf>
    <xf borderId="11" fillId="3" fontId="5" numFmtId="0" xfId="0" applyAlignment="1" applyBorder="1" applyFont="1">
      <alignment horizontal="center" shrinkToFit="0" vertical="center" wrapText="1"/>
    </xf>
    <xf borderId="12" fillId="3" fontId="5" numFmtId="0" xfId="0" applyAlignment="1" applyBorder="1" applyFont="1">
      <alignment horizontal="center" shrinkToFit="0" vertical="center" wrapText="1"/>
    </xf>
    <xf borderId="0" fillId="0" fontId="1" numFmtId="49" xfId="0" applyFont="1" applyNumberFormat="1"/>
    <xf borderId="13" fillId="4" fontId="6" numFmtId="49" xfId="0" applyAlignment="1" applyBorder="1" applyFill="1" applyFont="1" applyNumberFormat="1">
      <alignment horizontal="right" readingOrder="0" shrinkToFit="0" vertical="center" wrapText="1"/>
    </xf>
    <xf borderId="14" fillId="5" fontId="6" numFmtId="49" xfId="0" applyAlignment="1" applyBorder="1" applyFill="1" applyFont="1" applyNumberFormat="1">
      <alignment horizontal="left" shrinkToFit="0" vertical="center" wrapText="1"/>
    </xf>
    <xf borderId="15" fillId="5" fontId="6" numFmtId="0" xfId="0" applyAlignment="1" applyBorder="1" applyFont="1">
      <alignment horizontal="left" shrinkToFit="0" vertical="center" wrapText="1"/>
    </xf>
    <xf borderId="15" fillId="5" fontId="7" numFmtId="0" xfId="0" applyAlignment="1" applyBorder="1" applyFont="1">
      <alignment horizontal="left" shrinkToFit="0" vertical="center" wrapText="1"/>
    </xf>
    <xf borderId="15" fillId="5" fontId="8" numFmtId="0" xfId="0" applyAlignment="1" applyBorder="1" applyFont="1">
      <alignment horizontal="left" readingOrder="0" shrinkToFit="0" vertical="center" wrapText="1"/>
    </xf>
    <xf borderId="15" fillId="5" fontId="7" numFmtId="0" xfId="0" applyAlignment="1" applyBorder="1" applyFont="1">
      <alignment horizontal="center" readingOrder="0" shrinkToFit="0" vertical="center" wrapText="1"/>
    </xf>
    <xf borderId="15" fillId="5" fontId="7" numFmtId="0" xfId="0" applyAlignment="1" applyBorder="1" applyFont="1">
      <alignment horizontal="left" readingOrder="0" shrinkToFit="0" vertical="center" wrapText="1"/>
    </xf>
    <xf borderId="15" fillId="5" fontId="8" numFmtId="0" xfId="0" applyAlignment="1" applyBorder="1" applyFont="1">
      <alignment horizontal="left" shrinkToFit="0" vertical="center" wrapText="1"/>
    </xf>
    <xf borderId="15" fillId="5" fontId="8" numFmtId="0" xfId="0" applyAlignment="1" applyBorder="1" applyFont="1">
      <alignment horizontal="center" readingOrder="0" shrinkToFit="0" vertical="center" wrapText="1"/>
    </xf>
    <xf borderId="16" fillId="5" fontId="8" numFmtId="0" xfId="0" applyAlignment="1" applyBorder="1" applyFont="1">
      <alignment horizontal="center" readingOrder="0" shrinkToFit="0" vertical="center" wrapText="1"/>
    </xf>
    <xf borderId="0" fillId="0" fontId="9" numFmtId="49" xfId="0" applyFont="1" applyNumberFormat="1"/>
    <xf borderId="13" fillId="4" fontId="6" numFmtId="49" xfId="0" applyAlignment="1" applyBorder="1" applyFont="1" applyNumberFormat="1">
      <alignment horizontal="center" readingOrder="0" shrinkToFit="0" vertical="center" wrapText="1"/>
    </xf>
    <xf borderId="15" fillId="5" fontId="7" numFmtId="0" xfId="0" applyAlignment="1" applyBorder="1" applyFont="1">
      <alignment horizontal="center" shrinkToFit="0" vertical="center" wrapText="1"/>
    </xf>
    <xf borderId="15" fillId="5" fontId="8" numFmtId="0" xfId="0" applyAlignment="1" applyBorder="1" applyFont="1">
      <alignment horizontal="center" shrinkToFit="0" vertical="center" wrapText="1"/>
    </xf>
    <xf borderId="16" fillId="5" fontId="8" numFmtId="0" xfId="0" applyAlignment="1" applyBorder="1" applyFont="1">
      <alignment horizontal="center" shrinkToFit="0" vertical="center" wrapText="1"/>
    </xf>
    <xf borderId="15" fillId="5" fontId="6" numFmtId="0" xfId="0" applyAlignment="1" applyBorder="1" applyFont="1">
      <alignment horizontal="left" readingOrder="0" shrinkToFit="0" vertical="center" wrapText="1"/>
    </xf>
    <xf borderId="15" fillId="5" fontId="10" numFmtId="0" xfId="0" applyAlignment="1" applyBorder="1" applyFont="1">
      <alignment horizontal="center" readingOrder="0" shrinkToFit="0" vertical="center" wrapText="1"/>
    </xf>
    <xf borderId="15" fillId="5" fontId="11" numFmtId="0" xfId="0" applyAlignment="1" applyBorder="1" applyFont="1">
      <alignment horizontal="center" readingOrder="0" shrinkToFit="0" vertical="center" wrapText="1"/>
    </xf>
    <xf borderId="0" fillId="0" fontId="1" numFmtId="0" xfId="0" applyAlignment="1" applyFont="1">
      <alignment horizontal="center"/>
    </xf>
    <xf borderId="17" fillId="4" fontId="6" numFmtId="49" xfId="0" applyAlignment="1" applyBorder="1" applyFont="1" applyNumberFormat="1">
      <alignment horizontal="center" readingOrder="0" shrinkToFit="0" vertical="center" wrapText="1"/>
    </xf>
    <xf borderId="18" fillId="5" fontId="6" numFmtId="0" xfId="0" applyAlignment="1" applyBorder="1" applyFont="1">
      <alignment horizontal="left" readingOrder="0" shrinkToFit="0" vertical="center" wrapText="1"/>
    </xf>
    <xf borderId="18" fillId="5" fontId="7" numFmtId="0" xfId="0" applyAlignment="1" applyBorder="1" applyFont="1">
      <alignment horizontal="left" readingOrder="0" shrinkToFit="0" vertical="center" wrapText="1"/>
    </xf>
    <xf borderId="18" fillId="5" fontId="8" numFmtId="0" xfId="0" applyAlignment="1" applyBorder="1" applyFont="1">
      <alignment horizontal="center" readingOrder="0" shrinkToFit="0" vertical="center" wrapText="1"/>
    </xf>
    <xf borderId="18" fillId="5" fontId="7" numFmtId="0" xfId="0" applyAlignment="1" applyBorder="1" applyFont="1">
      <alignment horizontal="center" readingOrder="0" shrinkToFit="0" vertical="center" wrapText="1"/>
    </xf>
    <xf borderId="18" fillId="5" fontId="7" numFmtId="0" xfId="0" applyAlignment="1" applyBorder="1" applyFont="1">
      <alignment horizontal="left" readingOrder="0" shrinkToFit="0" vertical="center" wrapText="1"/>
    </xf>
    <xf borderId="18" fillId="5" fontId="8" numFmtId="0" xfId="0" applyAlignment="1" applyBorder="1" applyFont="1">
      <alignment horizontal="left" readingOrder="0" shrinkToFit="0" vertical="center" wrapText="1"/>
    </xf>
    <xf borderId="19" fillId="5" fontId="8" numFmtId="0" xfId="0" applyAlignment="1" applyBorder="1" applyFont="1">
      <alignment horizontal="center" readingOrder="0" shrinkToFit="0" vertical="center" wrapText="1"/>
    </xf>
    <xf borderId="15" fillId="5" fontId="6" numFmtId="0" xfId="0" applyAlignment="1" applyBorder="1" applyFont="1">
      <alignment horizontal="left" readingOrder="0" shrinkToFit="0" vertical="center" wrapText="1"/>
    </xf>
    <xf borderId="0" fillId="0" fontId="12" numFmtId="0" xfId="0" applyFont="1"/>
    <xf borderId="15" fillId="5" fontId="8" numFmtId="0" xfId="0" applyAlignment="1" applyBorder="1" applyFont="1">
      <alignment horizontal="left" readingOrder="0" shrinkToFit="0" vertical="center" wrapText="1"/>
    </xf>
    <xf borderId="15" fillId="5" fontId="8" numFmtId="0" xfId="0" applyAlignment="1" applyBorder="1" applyFont="1">
      <alignment horizontal="center" shrinkToFit="0" vertical="center" wrapText="1"/>
    </xf>
    <xf borderId="15" fillId="5" fontId="7" numFmtId="0" xfId="0" applyAlignment="1" applyBorder="1" applyFont="1">
      <alignment horizontal="left" shrinkToFit="0" vertical="center" wrapText="1"/>
    </xf>
    <xf borderId="15" fillId="5" fontId="7" numFmtId="0" xfId="0" applyAlignment="1" applyBorder="1" applyFont="1">
      <alignment horizontal="left" readingOrder="0" shrinkToFit="0" vertical="center" wrapText="1"/>
    </xf>
    <xf borderId="11" fillId="3" fontId="5" numFmtId="0" xfId="0" applyAlignment="1" applyBorder="1" applyFont="1">
      <alignment horizontal="center" shrinkToFit="0" vertical="center" wrapText="1"/>
    </xf>
    <xf borderId="15" fillId="5" fontId="7" numFmtId="164" xfId="0" applyAlignment="1" applyBorder="1" applyFont="1" applyNumberFormat="1">
      <alignment horizontal="left" readingOrder="0" shrinkToFit="0" vertical="center" wrapText="1"/>
    </xf>
    <xf borderId="15" fillId="5" fontId="8" numFmtId="165" xfId="0" applyAlignment="1" applyBorder="1" applyFont="1" applyNumberFormat="1">
      <alignment horizontal="left" readingOrder="0" shrinkToFit="0" vertical="center" wrapText="1"/>
    </xf>
    <xf borderId="16" fillId="5" fontId="6" numFmtId="0" xfId="0" applyAlignment="1" applyBorder="1" applyFont="1">
      <alignment horizontal="center" readingOrder="0" shrinkToFit="0" vertical="center" wrapText="1"/>
    </xf>
    <xf borderId="20" fillId="4" fontId="6" numFmtId="49" xfId="0" applyAlignment="1" applyBorder="1" applyFont="1" applyNumberFormat="1">
      <alignment horizontal="center" readingOrder="0" shrinkToFit="0" vertical="center" wrapText="1"/>
    </xf>
    <xf borderId="21" fillId="5" fontId="6" numFmtId="0" xfId="0" applyAlignment="1" applyBorder="1" applyFont="1">
      <alignment horizontal="left" readingOrder="0" shrinkToFit="0" vertical="center" wrapText="1"/>
    </xf>
    <xf borderId="21" fillId="5" fontId="7" numFmtId="164" xfId="0" applyAlignment="1" applyBorder="1" applyFont="1" applyNumberFormat="1">
      <alignment horizontal="left" readingOrder="0" shrinkToFit="0" vertical="center" wrapText="1"/>
    </xf>
    <xf borderId="21" fillId="5" fontId="8" numFmtId="165" xfId="0" applyAlignment="1" applyBorder="1" applyFont="1" applyNumberFormat="1">
      <alignment horizontal="left" readingOrder="0" shrinkToFit="0" vertical="center" wrapText="1"/>
    </xf>
    <xf borderId="22" fillId="5" fontId="6" numFmtId="0" xfId="0" applyAlignment="1" applyBorder="1" applyFont="1">
      <alignment horizontal="center" readingOrder="0" shrinkToFit="0" vertical="center" wrapText="1"/>
    </xf>
    <xf borderId="0" fillId="0" fontId="1" numFmtId="0" xfId="0" applyFont="1"/>
    <xf borderId="0" fillId="0" fontId="1" numFmtId="164" xfId="0" applyFont="1" applyNumberFormat="1"/>
    <xf borderId="0" fillId="0" fontId="1" numFmtId="165"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333375</xdr:colOff>
      <xdr:row>1</xdr:row>
      <xdr:rowOff>200025</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257175</xdr:colOff>
      <xdr:row>1</xdr:row>
      <xdr:rowOff>85725</xdr:rowOff>
    </xdr:from>
    <xdr:ext cx="2219325" cy="942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1219200</xdr:colOff>
      <xdr:row>2</xdr:row>
      <xdr:rowOff>114300</xdr:rowOff>
    </xdr:from>
    <xdr:ext cx="2019300" cy="40005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gov.co/" TargetMode="External"/><Relationship Id="rId2" Type="http://schemas.openxmlformats.org/officeDocument/2006/relationships/hyperlink" Target="http://gov.co/"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hidden="1" min="4" max="4" width="20.57"/>
    <col customWidth="1" min="5" max="5" width="20.57"/>
    <col customWidth="1" min="6" max="6" width="32.29"/>
    <col customWidth="1" min="7" max="7" width="23.57"/>
    <col customWidth="1" min="8" max="8" width="8.86"/>
    <col customWidth="1" min="9" max="9" width="21.57"/>
    <col customWidth="1" min="10" max="13" width="18.0"/>
    <col customWidth="1" min="14" max="14" width="3.14"/>
  </cols>
  <sheetData>
    <row r="1" ht="12.75" customHeight="1">
      <c r="A1" s="1"/>
      <c r="B1" s="2"/>
      <c r="C1" s="2"/>
      <c r="D1" s="2"/>
      <c r="E1" s="2"/>
      <c r="F1" s="2"/>
      <c r="G1" s="2"/>
      <c r="H1" s="2"/>
      <c r="I1" s="2"/>
      <c r="J1" s="2"/>
      <c r="K1" s="2"/>
      <c r="L1" s="2"/>
      <c r="M1" s="2"/>
    </row>
    <row r="2">
      <c r="A2" s="1"/>
      <c r="B2" s="3" t="s">
        <v>0</v>
      </c>
      <c r="C2" s="4"/>
      <c r="D2" s="4"/>
      <c r="E2" s="4"/>
      <c r="F2" s="4"/>
      <c r="G2" s="4"/>
      <c r="H2" s="4"/>
      <c r="I2" s="4"/>
      <c r="J2" s="4"/>
      <c r="K2" s="4"/>
      <c r="L2" s="4"/>
      <c r="M2" s="5"/>
    </row>
    <row r="3" ht="23.25" customHeight="1">
      <c r="A3" s="1"/>
      <c r="B3" s="6"/>
      <c r="M3" s="7"/>
    </row>
    <row r="4" ht="20.25" customHeight="1">
      <c r="A4" s="1"/>
      <c r="B4" s="6"/>
      <c r="M4" s="7"/>
    </row>
    <row r="5">
      <c r="A5" s="1"/>
      <c r="B5" s="6"/>
      <c r="M5" s="7"/>
    </row>
    <row r="6" ht="13.5" customHeight="1">
      <c r="A6" s="1"/>
      <c r="B6" s="8"/>
      <c r="C6" s="9"/>
      <c r="D6" s="9"/>
      <c r="E6" s="9"/>
      <c r="F6" s="9"/>
      <c r="G6" s="9"/>
      <c r="H6" s="9"/>
      <c r="I6" s="9"/>
      <c r="J6" s="9"/>
      <c r="K6" s="9"/>
      <c r="L6" s="9"/>
      <c r="M6" s="10"/>
    </row>
    <row r="7" ht="30.0" customHeight="1">
      <c r="A7" s="1"/>
      <c r="B7" s="11" t="s">
        <v>1</v>
      </c>
      <c r="C7" s="4"/>
      <c r="D7" s="4"/>
      <c r="E7" s="4"/>
      <c r="F7" s="4"/>
      <c r="G7" s="4"/>
      <c r="H7" s="4"/>
      <c r="I7" s="4"/>
      <c r="J7" s="4"/>
      <c r="K7" s="4"/>
      <c r="L7" s="4"/>
      <c r="M7" s="4"/>
    </row>
    <row r="8" ht="30.0" customHeight="1">
      <c r="A8" s="1"/>
      <c r="B8" s="12" t="s">
        <v>2</v>
      </c>
      <c r="C8" s="13" t="s">
        <v>3</v>
      </c>
      <c r="D8" s="14"/>
      <c r="E8" s="14" t="s">
        <v>4</v>
      </c>
      <c r="F8" s="13" t="s">
        <v>5</v>
      </c>
      <c r="G8" s="14" t="s">
        <v>6</v>
      </c>
      <c r="H8" s="14" t="s">
        <v>7</v>
      </c>
      <c r="I8" s="13" t="s">
        <v>8</v>
      </c>
      <c r="J8" s="14" t="s">
        <v>9</v>
      </c>
      <c r="K8" s="14" t="s">
        <v>10</v>
      </c>
      <c r="L8" s="14" t="s">
        <v>11</v>
      </c>
      <c r="M8" s="15" t="s">
        <v>12</v>
      </c>
    </row>
    <row r="9" ht="52.5" customHeight="1">
      <c r="A9" s="16"/>
      <c r="B9" s="17" t="str">
        <f t="shared" ref="B9:B66" si="1">D9</f>
        <v>1</v>
      </c>
      <c r="C9" s="18" t="str">
        <f>IFERROR(__xludf.DUMMYFUNCTION("{FILTER('Ries. Corr.'!A9:K67,NOT(ISBLANK('Ries. Corr.'!B9:B67)));
FILTER('Raci. Tram.'!A9:K67,NOT(ISBLANK('Raci. Tram.'!B9:B67)));
FILTER('Rend. Cuen.'!A9:K67,NOT(ISBLANK('Rend. Cuen.'!B9:B67)));
FILTER('Aten. Ciud.'!A9:K67,NOT(ISBLANK('Aten. Ciud.'!B9:B6"&amp;"7)));
FILTER(Trans.!A9:K67,NOT(ISBLANK(Trans.!B9:B67)));
FILTER('Inic. Adic.'!A9:K67,NOT(ISBLANK('Inic. Adic.'!B9:B67)))}"),"GESTIÓN DEL RIESGO DE CORRUPCIÓN - MAPA DE RIESGOS CORRUPCIÓN")</f>
        <v>GESTIÓN DEL RIESGO DE CORRUPCIÓN - MAPA DE RIESGOS CORRUPCIÓN</v>
      </c>
      <c r="D9" s="18" t="str">
        <f>IFERROR(__xludf.DUMMYFUNCTION("""COMPUTED_VALUE"""),"1")</f>
        <v>1</v>
      </c>
      <c r="E9" s="19" t="str">
        <f>IFERROR(__xludf.DUMMYFUNCTION("""COMPUTED_VALUE"""),"Construcción mapa de riesgos")</f>
        <v>Construcción mapa de riesgos</v>
      </c>
      <c r="F9" s="20" t="str">
        <f>IFERROR(__xludf.DUMMYFUNCTION("""COMPUTED_VALUE"""),"Actualizar el Mapa Integral de Riesgos de la Entidad cuando el líder del proceso lo solicite.")</f>
        <v>Actualizar el Mapa Integral de Riesgos de la Entidad cuando el líder del proceso lo solicite.</v>
      </c>
      <c r="G9" s="21" t="str">
        <f>IFERROR(__xludf.DUMMYFUNCTION("""COMPUTED_VALUE"""),"Mapa integral de Riesgos actualizado")</f>
        <v>Mapa integral de Riesgos actualizado</v>
      </c>
      <c r="H9" s="22">
        <f>IFERROR(__xludf.DUMMYFUNCTION("""COMPUTED_VALUE"""),2.0)</f>
        <v>2</v>
      </c>
      <c r="I9" s="23" t="str">
        <f>IFERROR(__xludf.DUMMYFUNCTION("""COMPUTED_VALUE"""),"Mapa Integral de Riesgos actualizado y aprobado")</f>
        <v>Mapa Integral de Riesgos actualizado y aprobado</v>
      </c>
      <c r="J9" s="24" t="str">
        <f>IFERROR(__xludf.DUMMYFUNCTION("""COMPUTED_VALUE"""),"Líderes de los Procesos")</f>
        <v>Líderes de los Procesos</v>
      </c>
      <c r="K9" s="25">
        <f>IFERROR(__xludf.DUMMYFUNCTION("""COMPUTED_VALUE"""),0.0)</f>
        <v>0</v>
      </c>
      <c r="L9" s="25">
        <f>IFERROR(__xludf.DUMMYFUNCTION("""COMPUTED_VALUE"""),1.0)</f>
        <v>1</v>
      </c>
      <c r="M9" s="26">
        <f>IFERROR(__xludf.DUMMYFUNCTION("""COMPUTED_VALUE"""),1.0)</f>
        <v>1</v>
      </c>
    </row>
    <row r="10" ht="52.5" customHeight="1">
      <c r="A10" s="16"/>
      <c r="B10" s="17" t="str">
        <f t="shared" si="1"/>
        <v>2</v>
      </c>
      <c r="C10" s="18" t="str">
        <f>IFERROR(__xludf.DUMMYFUNCTION("""COMPUTED_VALUE"""),"GESTIÓN DEL RIESGO DE CORRUPCIÓN - MAPA DE RIESGOS CORRUPCIÓN")</f>
        <v>GESTIÓN DEL RIESGO DE CORRUPCIÓN - MAPA DE RIESGOS CORRUPCIÓN</v>
      </c>
      <c r="D10" s="18" t="str">
        <f>IFERROR(__xludf.DUMMYFUNCTION("""COMPUTED_VALUE"""),"2")</f>
        <v>2</v>
      </c>
      <c r="E10" s="19" t="str">
        <f>IFERROR(__xludf.DUMMYFUNCTION("""COMPUTED_VALUE"""),"Política de Administración de Riesgos de Corrupción")</f>
        <v>Política de Administración de Riesgos de Corrupción</v>
      </c>
      <c r="F10" s="20" t="str">
        <f>IFERROR(__xludf.DUMMYFUNCTION("""COMPUTED_VALUE"""),"Publicar para consulta con los grupos de interés de la Entidad el Mapa Integral de Riesgos de la Entidad.")</f>
        <v>Publicar para consulta con los grupos de interés de la Entidad el Mapa Integral de Riesgos de la Entidad.</v>
      </c>
      <c r="G10" s="21" t="str">
        <f>IFERROR(__xludf.DUMMYFUNCTION("""COMPUTED_VALUE"""),"Versión Inicial del Mapa Integral de Riesgos publicado para consulta")</f>
        <v>Versión Inicial del Mapa Integral de Riesgos publicado para consulta</v>
      </c>
      <c r="H10" s="22">
        <f>IFERROR(__xludf.DUMMYFUNCTION("""COMPUTED_VALUE"""),1.0)</f>
        <v>1</v>
      </c>
      <c r="I10" s="23" t="str">
        <f>IFERROR(__xludf.DUMMYFUNCTION("""COMPUTED_VALUE"""),"Documento Mapa de Riesgos publicado para consulta")</f>
        <v>Documento Mapa de Riesgos publicado para consulta</v>
      </c>
      <c r="J10" s="24" t="str">
        <f>IFERROR(__xludf.DUMMYFUNCTION("""COMPUTED_VALUE"""),"Planeación")</f>
        <v>Planeación</v>
      </c>
      <c r="K10" s="25">
        <f>IFERROR(__xludf.DUMMYFUNCTION("""COMPUTED_VALUE"""),1.0)</f>
        <v>1</v>
      </c>
      <c r="L10" s="25">
        <f>IFERROR(__xludf.DUMMYFUNCTION("""COMPUTED_VALUE"""),0.0)</f>
        <v>0</v>
      </c>
      <c r="M10" s="26">
        <f>IFERROR(__xludf.DUMMYFUNCTION("""COMPUTED_VALUE"""),0.0)</f>
        <v>0</v>
      </c>
    </row>
    <row r="11" ht="52.5" customHeight="1">
      <c r="A11" s="16"/>
      <c r="B11" s="17" t="str">
        <f t="shared" si="1"/>
        <v>3</v>
      </c>
      <c r="C11" s="18" t="str">
        <f>IFERROR(__xludf.DUMMYFUNCTION("""COMPUTED_VALUE"""),"GESTIÓN DEL RIESGO DE CORRUPCIÓN - MAPA DE RIESGOS CORRUPCIÓN")</f>
        <v>GESTIÓN DEL RIESGO DE CORRUPCIÓN - MAPA DE RIESGOS CORRUPCIÓN</v>
      </c>
      <c r="D11" s="18" t="str">
        <f>IFERROR(__xludf.DUMMYFUNCTION("""COMPUTED_VALUE"""),"3")</f>
        <v>3</v>
      </c>
      <c r="E11" s="19" t="str">
        <f>IFERROR(__xludf.DUMMYFUNCTION("""COMPUTED_VALUE"""),"Política de Administración de Riesgos de Corrupción")</f>
        <v>Política de Administración de Riesgos de Corrupción</v>
      </c>
      <c r="F11" s="20" t="str">
        <f>IFERROR(__xludf.DUMMYFUNCTION("""COMPUTED_VALUE"""),"Publicar en la página web de la Entidad la versión definitiva de Mapa Integral de Riesgos.")</f>
        <v>Publicar en la página web de la Entidad la versión definitiva de Mapa Integral de Riesgos.</v>
      </c>
      <c r="G11" s="21" t="str">
        <f>IFERROR(__xludf.DUMMYFUNCTION("""COMPUTED_VALUE"""),"Publicación la versión final de Mapa Integral de Riesgos.")</f>
        <v>Publicación la versión final de Mapa Integral de Riesgos.</v>
      </c>
      <c r="H11" s="22">
        <f>IFERROR(__xludf.DUMMYFUNCTION("""COMPUTED_VALUE"""),1.0)</f>
        <v>1</v>
      </c>
      <c r="I11" s="23" t="str">
        <f>IFERROR(__xludf.DUMMYFUNCTION("""COMPUTED_VALUE"""),"Mapa de Riesgos publicado")</f>
        <v>Mapa de Riesgos publicado</v>
      </c>
      <c r="J11" s="24" t="str">
        <f>IFERROR(__xludf.DUMMYFUNCTION("""COMPUTED_VALUE"""),"Planeación")</f>
        <v>Planeación</v>
      </c>
      <c r="K11" s="25">
        <f>IFERROR(__xludf.DUMMYFUNCTION("""COMPUTED_VALUE"""),1.0)</f>
        <v>1</v>
      </c>
      <c r="L11" s="25">
        <f>IFERROR(__xludf.DUMMYFUNCTION("""COMPUTED_VALUE"""),0.0)</f>
        <v>0</v>
      </c>
      <c r="M11" s="26">
        <f>IFERROR(__xludf.DUMMYFUNCTION("""COMPUTED_VALUE"""),0.0)</f>
        <v>0</v>
      </c>
    </row>
    <row r="12" ht="52.5" customHeight="1">
      <c r="A12" s="16"/>
      <c r="B12" s="17" t="str">
        <f t="shared" si="1"/>
        <v>4</v>
      </c>
      <c r="C12" s="18" t="str">
        <f>IFERROR(__xludf.DUMMYFUNCTION("""COMPUTED_VALUE"""),"GESTIÓN DEL RIESGO DE CORRUPCIÓN - MAPA DE RIESGOS CORRUPCIÓN")</f>
        <v>GESTIÓN DEL RIESGO DE CORRUPCIÓN - MAPA DE RIESGOS CORRUPCIÓN</v>
      </c>
      <c r="D12" s="18" t="str">
        <f>IFERROR(__xludf.DUMMYFUNCTION("""COMPUTED_VALUE"""),"4")</f>
        <v>4</v>
      </c>
      <c r="E12" s="19" t="str">
        <f>IFERROR(__xludf.DUMMYFUNCTION("""COMPUTED_VALUE"""),"Política de Administración de Riesgos de Corrupción")</f>
        <v>Política de Administración de Riesgos de Corrupción</v>
      </c>
      <c r="F12" s="20" t="str">
        <f>IFERROR(__xludf.DUMMYFUNCTION("""COMPUTED_VALUE"""),"Realizar Talleres prácticos de Administración Integral de Riesgos")</f>
        <v>Realizar Talleres prácticos de Administración Integral de Riesgos</v>
      </c>
      <c r="G12" s="21" t="str">
        <f>IFERROR(__xludf.DUMMYFUNCTION("""COMPUTED_VALUE"""),"Talleres prácticos de Administración Integral de Riesgos realizados")</f>
        <v>Talleres prácticos de Administración Integral de Riesgos realizados</v>
      </c>
      <c r="H12" s="22">
        <f>IFERROR(__xludf.DUMMYFUNCTION("""COMPUTED_VALUE"""),6.0)</f>
        <v>6</v>
      </c>
      <c r="I12" s="23" t="str">
        <f>IFERROR(__xludf.DUMMYFUNCTION("""COMPUTED_VALUE"""),"Listados de Asistencias, Contenidos")</f>
        <v>Listados de Asistencias, Contenidos</v>
      </c>
      <c r="J12" s="24" t="str">
        <f>IFERROR(__xludf.DUMMYFUNCTION("""COMPUTED_VALUE"""),"Planeación")</f>
        <v>Planeación</v>
      </c>
      <c r="K12" s="25">
        <f>IFERROR(__xludf.DUMMYFUNCTION("""COMPUTED_VALUE"""),2.0)</f>
        <v>2</v>
      </c>
      <c r="L12" s="25">
        <f>IFERROR(__xludf.DUMMYFUNCTION("""COMPUTED_VALUE"""),2.0)</f>
        <v>2</v>
      </c>
      <c r="M12" s="26">
        <f>IFERROR(__xludf.DUMMYFUNCTION("""COMPUTED_VALUE"""),2.0)</f>
        <v>2</v>
      </c>
    </row>
    <row r="13" ht="52.5" customHeight="1">
      <c r="A13" s="16"/>
      <c r="B13" s="17" t="str">
        <f t="shared" si="1"/>
        <v>5</v>
      </c>
      <c r="C13" s="18" t="str">
        <f>IFERROR(__xludf.DUMMYFUNCTION("""COMPUTED_VALUE"""),"GESTIÓN DEL RIESGO DE CORRUPCIÓN - MAPA DE RIESGOS CORRUPCIÓN")</f>
        <v>GESTIÓN DEL RIESGO DE CORRUPCIÓN - MAPA DE RIESGOS CORRUPCIÓN</v>
      </c>
      <c r="D13" s="18" t="str">
        <f>IFERROR(__xludf.DUMMYFUNCTION("""COMPUTED_VALUE"""),"5")</f>
        <v>5</v>
      </c>
      <c r="E13" s="19" t="str">
        <f>IFERROR(__xludf.DUMMYFUNCTION("""COMPUTED_VALUE"""),"Monitoreo y Revisión")</f>
        <v>Monitoreo y Revisión</v>
      </c>
      <c r="F13" s="20" t="str">
        <f>IFERROR(__xludf.DUMMYFUNCTION("""COMPUTED_VALUE"""),"Realizar monitoreo y revisión de Autocontrol al Mapa Integral de Riesgos de la Entidad. ")</f>
        <v>Realizar monitoreo y revisión de Autocontrol al Mapa Integral de Riesgos de la Entidad. </v>
      </c>
      <c r="G13" s="21" t="str">
        <f>IFERROR(__xludf.DUMMYFUNCTION("""COMPUTED_VALUE"""),"Monitoreo realizado al Mapa Integral de Riesgos de la entidad")</f>
        <v>Monitoreo realizado al Mapa Integral de Riesgos de la entidad</v>
      </c>
      <c r="H13" s="22">
        <f>IFERROR(__xludf.DUMMYFUNCTION("""COMPUTED_VALUE"""),3.0)</f>
        <v>3</v>
      </c>
      <c r="I13" s="23" t="str">
        <f>IFERROR(__xludf.DUMMYFUNCTION("""COMPUTED_VALUE"""),"Registro de la herramienta dispuesta por el grupo de planeación donde se evidencie el monitoreo y revisión de los riesgos asociados")</f>
        <v>Registro de la herramienta dispuesta por el grupo de planeación donde se evidencie el monitoreo y revisión de los riesgos asociados</v>
      </c>
      <c r="J13" s="24" t="str">
        <f>IFERROR(__xludf.DUMMYFUNCTION("""COMPUTED_VALUE"""),"Líderes de los Procesos")</f>
        <v>Líderes de los Procesos</v>
      </c>
      <c r="K13" s="25">
        <f>IFERROR(__xludf.DUMMYFUNCTION("""COMPUTED_VALUE"""),1.0)</f>
        <v>1</v>
      </c>
      <c r="L13" s="25">
        <f>IFERROR(__xludf.DUMMYFUNCTION("""COMPUTED_VALUE"""),1.0)</f>
        <v>1</v>
      </c>
      <c r="M13" s="26">
        <f>IFERROR(__xludf.DUMMYFUNCTION("""COMPUTED_VALUE"""),1.0)</f>
        <v>1</v>
      </c>
    </row>
    <row r="14" ht="52.5" customHeight="1">
      <c r="A14" s="16"/>
      <c r="B14" s="17" t="str">
        <f t="shared" si="1"/>
        <v>6</v>
      </c>
      <c r="C14" s="18" t="str">
        <f>IFERROR(__xludf.DUMMYFUNCTION("""COMPUTED_VALUE"""),"GESTIÓN DEL RIESGO DE CORRUPCIÓN - MAPA DE RIESGOS CORRUPCIÓN")</f>
        <v>GESTIÓN DEL RIESGO DE CORRUPCIÓN - MAPA DE RIESGOS CORRUPCIÓN</v>
      </c>
      <c r="D14" s="18" t="str">
        <f>IFERROR(__xludf.DUMMYFUNCTION("""COMPUTED_VALUE"""),"6")</f>
        <v>6</v>
      </c>
      <c r="E14" s="19" t="str">
        <f>IFERROR(__xludf.DUMMYFUNCTION("""COMPUTED_VALUE"""),"Monitoreo y Revisión")</f>
        <v>Monitoreo y Revisión</v>
      </c>
      <c r="F14" s="20" t="str">
        <f>IFERROR(__xludf.DUMMYFUNCTION("""COMPUTED_VALUE"""),"Realizar monitoreo periódico de los riesgos de corrupción con base en la información que remitan los líderes de los procesos, por medio de las herramientas dispuestas por planeación y en las fechas establecidas.")</f>
        <v>Realizar monitoreo periódico de los riesgos de corrupción con base en la información que remitan los líderes de los procesos, por medio de las herramientas dispuestas por planeación y en las fechas establecidas.</v>
      </c>
      <c r="G14" s="21" t="str">
        <f>IFERROR(__xludf.DUMMYFUNCTION("""COMPUTED_VALUE"""),"Informes publicados")</f>
        <v>Informes publicados</v>
      </c>
      <c r="H14" s="22">
        <f>IFERROR(__xludf.DUMMYFUNCTION("""COMPUTED_VALUE"""),3.0)</f>
        <v>3</v>
      </c>
      <c r="I14" s="23" t="str">
        <f>IFERROR(__xludf.DUMMYFUNCTION("""COMPUTED_VALUE"""),"Informe de monitoreo de los riesgos con base en la información remitida por parte de los líderes de procesos.")</f>
        <v>Informe de monitoreo de los riesgos con base en la información remitida por parte de los líderes de procesos.</v>
      </c>
      <c r="J14" s="24" t="str">
        <f>IFERROR(__xludf.DUMMYFUNCTION("""COMPUTED_VALUE"""),"Planeación")</f>
        <v>Planeación</v>
      </c>
      <c r="K14" s="25">
        <f>IFERROR(__xludf.DUMMYFUNCTION("""COMPUTED_VALUE"""),1.0)</f>
        <v>1</v>
      </c>
      <c r="L14" s="25">
        <f>IFERROR(__xludf.DUMMYFUNCTION("""COMPUTED_VALUE"""),1.0)</f>
        <v>1</v>
      </c>
      <c r="M14" s="26">
        <f>IFERROR(__xludf.DUMMYFUNCTION("""COMPUTED_VALUE"""),1.0)</f>
        <v>1</v>
      </c>
    </row>
    <row r="15" ht="52.5" customHeight="1">
      <c r="A15" s="16"/>
      <c r="B15" s="17" t="str">
        <f t="shared" si="1"/>
        <v>7</v>
      </c>
      <c r="C15" s="18" t="str">
        <f>IFERROR(__xludf.DUMMYFUNCTION("""COMPUTED_VALUE"""),"GESTIÓN DEL RIESGO DE CORRUPCIÓN - MAPA DE RIESGOS CORRUPCIÓN")</f>
        <v>GESTIÓN DEL RIESGO DE CORRUPCIÓN - MAPA DE RIESGOS CORRUPCIÓN</v>
      </c>
      <c r="D15" s="18" t="str">
        <f>IFERROR(__xludf.DUMMYFUNCTION("""COMPUTED_VALUE"""),"7")</f>
        <v>7</v>
      </c>
      <c r="E15" s="19" t="str">
        <f>IFERROR(__xludf.DUMMYFUNCTION("""COMPUTED_VALUE"""),"Seguimiento")</f>
        <v>Seguimiento</v>
      </c>
      <c r="F15" s="20" t="str">
        <f>IFERROR(__xludf.DUMMYFUNCTION("""COMPUTED_VALUE"""),"Efectuar seguimientos al Plan Anticorrupción y de Atención al Ciudadano.")</f>
        <v>Efectuar seguimientos al Plan Anticorrupción y de Atención al Ciudadano.</v>
      </c>
      <c r="G15" s="21" t="str">
        <f>IFERROR(__xludf.DUMMYFUNCTION("""COMPUTED_VALUE"""),"Seguimiento cuatrimestral  efectuado al Plan Anticorrupción y de Atención al Ciudadano")</f>
        <v>Seguimiento cuatrimestral  efectuado al Plan Anticorrupción y de Atención al Ciudadano</v>
      </c>
      <c r="H15" s="22">
        <f>IFERROR(__xludf.DUMMYFUNCTION("""COMPUTED_VALUE"""),3.0)</f>
        <v>3</v>
      </c>
      <c r="I15" s="23" t="str">
        <f>IFERROR(__xludf.DUMMYFUNCTION("""COMPUTED_VALUE"""),"El informe al Plan Anticorrupción y de Atención al Ciudadano")</f>
        <v>El informe al Plan Anticorrupción y de Atención al Ciudadano</v>
      </c>
      <c r="J15" s="24" t="str">
        <f>IFERROR(__xludf.DUMMYFUNCTION("""COMPUTED_VALUE"""),"Control Interno")</f>
        <v>Control Interno</v>
      </c>
      <c r="K15" s="25">
        <f>IFERROR(__xludf.DUMMYFUNCTION("""COMPUTED_VALUE"""),1.0)</f>
        <v>1</v>
      </c>
      <c r="L15" s="25">
        <f>IFERROR(__xludf.DUMMYFUNCTION("""COMPUTED_VALUE"""),1.0)</f>
        <v>1</v>
      </c>
      <c r="M15" s="26">
        <f>IFERROR(__xludf.DUMMYFUNCTION("""COMPUTED_VALUE"""),1.0)</f>
        <v>1</v>
      </c>
    </row>
    <row r="16" ht="52.5" customHeight="1">
      <c r="A16" s="16"/>
      <c r="B16" s="17" t="str">
        <f t="shared" si="1"/>
        <v>1</v>
      </c>
      <c r="C16" s="18" t="str">
        <f>IFERROR(__xludf.DUMMYFUNCTION("""COMPUTED_VALUE"""),"RACIONALIZACIÓN DE TRAMITES")</f>
        <v>RACIONALIZACIÓN DE TRAMITES</v>
      </c>
      <c r="D16" s="18" t="str">
        <f>IFERROR(__xludf.DUMMYFUNCTION("""COMPUTED_VALUE"""),"1")</f>
        <v>1</v>
      </c>
      <c r="E16" s="19" t="str">
        <f>IFERROR(__xludf.DUMMYFUNCTION("""COMPUTED_VALUE"""),"Lineamientos Generales ")</f>
        <v>Lineamientos Generales </v>
      </c>
      <c r="F16" s="20" t="str">
        <f>IFERROR(__xludf.DUMMYFUNCTION("""COMPUTED_VALUE"""),"Elaboración en SUIT y publicación de la estrategia de racionalización de trámites en pagina WEB ")</f>
        <v>Elaboración en SUIT y publicación de la estrategia de racionalización de trámites en pagina WEB </v>
      </c>
      <c r="G16" s="21" t="str">
        <f>IFERROR(__xludf.DUMMYFUNCTION("""COMPUTED_VALUE"""),"Estrategia de racionalización de trámites elaborada en SUIT y publicada en pagina WEB de la Entidad ")</f>
        <v>Estrategia de racionalización de trámites elaborada en SUIT y publicada en pagina WEB de la Entidad </v>
      </c>
      <c r="H16" s="22">
        <f>IFERROR(__xludf.DUMMYFUNCTION("""COMPUTED_VALUE"""),1.0)</f>
        <v>1</v>
      </c>
      <c r="I16" s="23" t="str">
        <f>IFERROR(__xludf.DUMMYFUNCTION("""COMPUTED_VALUE"""),"Documento Estrategia de Racionalización de Trámites- SUIT publicada en pagina WEB de la Entidad  y en el link de transparencia ")</f>
        <v>Documento Estrategia de Racionalización de Trámites- SUIT publicada en pagina WEB de la Entidad  y en el link de transparencia </v>
      </c>
      <c r="J16" s="24" t="str">
        <f>IFERROR(__xludf.DUMMYFUNCTION("""COMPUTED_VALUE"""),"DTAF ")</f>
        <v>DTAF </v>
      </c>
      <c r="K16" s="25">
        <f>IFERROR(__xludf.DUMMYFUNCTION("""COMPUTED_VALUE"""),1.0)</f>
        <v>1</v>
      </c>
      <c r="L16" s="25">
        <f>IFERROR(__xludf.DUMMYFUNCTION("""COMPUTED_VALUE"""),0.0)</f>
        <v>0</v>
      </c>
      <c r="M16" s="26">
        <f>IFERROR(__xludf.DUMMYFUNCTION("""COMPUTED_VALUE"""),0.0)</f>
        <v>0</v>
      </c>
    </row>
    <row r="17" ht="52.5" customHeight="1">
      <c r="A17" s="16"/>
      <c r="B17" s="17" t="str">
        <f t="shared" si="1"/>
        <v>2</v>
      </c>
      <c r="C17" s="18" t="str">
        <f>IFERROR(__xludf.DUMMYFUNCTION("""COMPUTED_VALUE"""),"RACIONALIZACIÓN DE TRAMITES")</f>
        <v>RACIONALIZACIÓN DE TRAMITES</v>
      </c>
      <c r="D17" s="18" t="str">
        <f>IFERROR(__xludf.DUMMYFUNCTION("""COMPUTED_VALUE"""),"2")</f>
        <v>2</v>
      </c>
      <c r="E17" s="19" t="str">
        <f>IFERROR(__xludf.DUMMYFUNCTION("""COMPUTED_VALUE"""),"Lineamientos Generales ")</f>
        <v>Lineamientos Generales </v>
      </c>
      <c r="F17" s="20" t="str">
        <f>IFERROR(__xludf.DUMMYFUNCTION("""COMPUTED_VALUE"""),"Publicar los trámites registrados en SUIT enlazado con GOV.CO")</f>
        <v>Publicar los trámites registrados en SUIT enlazado con GOV.CO</v>
      </c>
      <c r="G17" s="21" t="str">
        <f>IFERROR(__xludf.DUMMYFUNCTION("""COMPUTED_VALUE"""),"Tramites registrados en SUIT publicados en pagina WEB de la Entidad y enlazado con GOV.CO")</f>
        <v>Tramites registrados en SUIT publicados en pagina WEB de la Entidad y enlazado con GOV.CO</v>
      </c>
      <c r="H17" s="22">
        <f>IFERROR(__xludf.DUMMYFUNCTION("""COMPUTED_VALUE"""),1.0)</f>
        <v>1</v>
      </c>
      <c r="I17" s="23" t="str">
        <f>IFERROR(__xludf.DUMMYFUNCTION("""COMPUTED_VALUE"""),"Publicación link de transparencia de los tramites registrados en SUIT y enlazado con GOV.CO")</f>
        <v>Publicación link de transparencia de los tramites registrados en SUIT y enlazado con GOV.CO</v>
      </c>
      <c r="J17" s="24" t="str">
        <f>IFERROR(__xludf.DUMMYFUNCTION("""COMPUTED_VALUE"""),"DTAF ")</f>
        <v>DTAF </v>
      </c>
      <c r="K17" s="25">
        <f>IFERROR(__xludf.DUMMYFUNCTION("""COMPUTED_VALUE"""),1.0)</f>
        <v>1</v>
      </c>
      <c r="L17" s="25">
        <f>IFERROR(__xludf.DUMMYFUNCTION("""COMPUTED_VALUE"""),0.0)</f>
        <v>0</v>
      </c>
      <c r="M17" s="26">
        <f>IFERROR(__xludf.DUMMYFUNCTION("""COMPUTED_VALUE"""),0.0)</f>
        <v>0</v>
      </c>
    </row>
    <row r="18" ht="52.5" customHeight="1">
      <c r="A18" s="16"/>
      <c r="B18" s="17" t="str">
        <f t="shared" si="1"/>
        <v>3</v>
      </c>
      <c r="C18" s="18" t="str">
        <f>IFERROR(__xludf.DUMMYFUNCTION("""COMPUTED_VALUE"""),"RACIONALIZACIÓN DE TRAMITES")</f>
        <v>RACIONALIZACIÓN DE TRAMITES</v>
      </c>
      <c r="D18" s="18" t="str">
        <f>IFERROR(__xludf.DUMMYFUNCTION("""COMPUTED_VALUE"""),"3")</f>
        <v>3</v>
      </c>
      <c r="E18" s="19" t="str">
        <f>IFERROR(__xludf.DUMMYFUNCTION("""COMPUTED_VALUE"""),"Lineamientos Generales ")</f>
        <v>Lineamientos Generales </v>
      </c>
      <c r="F18" s="20" t="str">
        <f>IFERROR(__xludf.DUMMYFUNCTION("""COMPUTED_VALUE"""),"Desarrollo de mesas de trabajo con Función Pública para establecer la pertinencia y estandarización de pasos, trámites modelo o  formularios únicos o estrategias de racionalización de tramites ")</f>
        <v>Desarrollo de mesas de trabajo con Función Pública para establecer la pertinencia y estandarización de pasos, trámites modelo o  formularios únicos o estrategias de racionalización de tramites </v>
      </c>
      <c r="G18" s="21" t="str">
        <f>IFERROR(__xludf.DUMMYFUNCTION("""COMPUTED_VALUE"""),"Mesas de trabajo con Función Pública desarroladas")</f>
        <v>Mesas de trabajo con Función Pública desarroladas</v>
      </c>
      <c r="H18" s="22">
        <f>IFERROR(__xludf.DUMMYFUNCTION("""COMPUTED_VALUE"""),2.0)</f>
        <v>2</v>
      </c>
      <c r="I18" s="23" t="str">
        <f>IFERROR(__xludf.DUMMYFUNCTION("""COMPUTED_VALUE"""),"Actas de reunión o listado de asistencia ")</f>
        <v>Actas de reunión o listado de asistencia </v>
      </c>
      <c r="J18" s="24" t="str">
        <f>IFERROR(__xludf.DUMMYFUNCTION("""COMPUTED_VALUE"""),"DTAF ")</f>
        <v>DTAF </v>
      </c>
      <c r="K18" s="25">
        <f>IFERROR(__xludf.DUMMYFUNCTION("""COMPUTED_VALUE"""),0.0)</f>
        <v>0</v>
      </c>
      <c r="L18" s="25">
        <f>IFERROR(__xludf.DUMMYFUNCTION("""COMPUTED_VALUE"""),1.0)</f>
        <v>1</v>
      </c>
      <c r="M18" s="26">
        <f>IFERROR(__xludf.DUMMYFUNCTION("""COMPUTED_VALUE"""),1.0)</f>
        <v>1</v>
      </c>
    </row>
    <row r="19" ht="52.5" customHeight="1">
      <c r="A19" s="16"/>
      <c r="B19" s="17" t="str">
        <f t="shared" si="1"/>
        <v>4</v>
      </c>
      <c r="C19" s="18" t="str">
        <f>IFERROR(__xludf.DUMMYFUNCTION("""COMPUTED_VALUE"""),"RACIONALIZACIÓN DE TRAMITES")</f>
        <v>RACIONALIZACIÓN DE TRAMITES</v>
      </c>
      <c r="D19" s="18" t="str">
        <f>IFERROR(__xludf.DUMMYFUNCTION("""COMPUTED_VALUE"""),"4")</f>
        <v>4</v>
      </c>
      <c r="E19" s="19" t="str">
        <f>IFERROR(__xludf.DUMMYFUNCTION("""COMPUTED_VALUE"""),"Lineamientos Generales ")</f>
        <v>Lineamientos Generales </v>
      </c>
      <c r="F19" s="20" t="str">
        <f>IFERROR(__xludf.DUMMYFUNCTION("""COMPUTED_VALUE"""),"Publicación en pagina WEB habilitación de botón de pago electrónico PSI")</f>
        <v>Publicación en pagina WEB habilitación de botón de pago electrónico PSI</v>
      </c>
      <c r="G19" s="21" t="str">
        <f>IFERROR(__xludf.DUMMYFUNCTION("""COMPUTED_VALUE"""),"Numero de publicaciones oficiales sobre la habilitación de botón de pago electrónico PSI")</f>
        <v>Numero de publicaciones oficiales sobre la habilitación de botón de pago electrónico PSI</v>
      </c>
      <c r="H19" s="22">
        <f>IFERROR(__xludf.DUMMYFUNCTION("""COMPUTED_VALUE"""),2.0)</f>
        <v>2</v>
      </c>
      <c r="I19" s="23" t="str">
        <f>IFERROR(__xludf.DUMMYFUNCTION("""COMPUTED_VALUE"""),"Publicaciones oficiales ")</f>
        <v>Publicaciones oficiales </v>
      </c>
      <c r="J19" s="24" t="str">
        <f>IFERROR(__xludf.DUMMYFUNCTION("""COMPUTED_VALUE"""),"DTAF ")</f>
        <v>DTAF </v>
      </c>
      <c r="K19" s="25">
        <f>IFERROR(__xludf.DUMMYFUNCTION("""COMPUTED_VALUE"""),1.0)</f>
        <v>1</v>
      </c>
      <c r="L19" s="25">
        <f>IFERROR(__xludf.DUMMYFUNCTION("""COMPUTED_VALUE"""),0.0)</f>
        <v>0</v>
      </c>
      <c r="M19" s="26">
        <f>IFERROR(__xludf.DUMMYFUNCTION("""COMPUTED_VALUE"""),1.0)</f>
        <v>1</v>
      </c>
    </row>
    <row r="20" ht="52.5" customHeight="1">
      <c r="A20" s="16"/>
      <c r="B20" s="17" t="str">
        <f t="shared" si="1"/>
        <v>5</v>
      </c>
      <c r="C20" s="18" t="str">
        <f>IFERROR(__xludf.DUMMYFUNCTION("""COMPUTED_VALUE"""),"RACIONALIZACIÓN DE TRAMITES")</f>
        <v>RACIONALIZACIÓN DE TRAMITES</v>
      </c>
      <c r="D20" s="18" t="str">
        <f>IFERROR(__xludf.DUMMYFUNCTION("""COMPUTED_VALUE"""),"5")</f>
        <v>5</v>
      </c>
      <c r="E20" s="19" t="str">
        <f>IFERROR(__xludf.DUMMYFUNCTION("""COMPUTED_VALUE"""),"Lineamientos Generales ")</f>
        <v>Lineamientos Generales </v>
      </c>
      <c r="F20" s="20" t="str">
        <f>IFERROR(__xludf.DUMMYFUNCTION("""COMPUTED_VALUE"""),"Publicaciones en pagina WEB de la actualización normativa referente a trámites de la entidad")</f>
        <v>Publicaciones en pagina WEB de la actualización normativa referente a trámites de la entidad</v>
      </c>
      <c r="G20" s="21" t="str">
        <f>IFERROR(__xludf.DUMMYFUNCTION("""COMPUTED_VALUE"""),"Numero de publicaciones de actualización normativa referente a trámites de la entidad publicado en la pagina WEB ")</f>
        <v>Numero de publicaciones de actualización normativa referente a trámites de la entidad publicado en la pagina WEB </v>
      </c>
      <c r="H20" s="22">
        <f>IFERROR(__xludf.DUMMYFUNCTION("""COMPUTED_VALUE"""),1.0)</f>
        <v>1</v>
      </c>
      <c r="I20" s="23" t="str">
        <f>IFERROR(__xludf.DUMMYFUNCTION("""COMPUTED_VALUE"""),"Publicaciones en pagina WEB de la actualización normativa referente a tramites ")</f>
        <v>Publicaciones en pagina WEB de la actualización normativa referente a tramites </v>
      </c>
      <c r="J20" s="24" t="str">
        <f>IFERROR(__xludf.DUMMYFUNCTION("""COMPUTED_VALUE"""),"DTAF ")</f>
        <v>DTAF </v>
      </c>
      <c r="K20" s="25">
        <f>IFERROR(__xludf.DUMMYFUNCTION("""COMPUTED_VALUE"""),0.0)</f>
        <v>0</v>
      </c>
      <c r="L20" s="25">
        <f>IFERROR(__xludf.DUMMYFUNCTION("""COMPUTED_VALUE"""),1.0)</f>
        <v>1</v>
      </c>
      <c r="M20" s="26">
        <f>IFERROR(__xludf.DUMMYFUNCTION("""COMPUTED_VALUE"""),0.0)</f>
        <v>0</v>
      </c>
    </row>
    <row r="21" ht="52.5" customHeight="1">
      <c r="A21" s="16"/>
      <c r="B21" s="17" t="str">
        <f t="shared" si="1"/>
        <v>6</v>
      </c>
      <c r="C21" s="18" t="str">
        <f>IFERROR(__xludf.DUMMYFUNCTION("""COMPUTED_VALUE"""),"RACIONALIZACIÓN DE TRAMITES")</f>
        <v>RACIONALIZACIÓN DE TRAMITES</v>
      </c>
      <c r="D21" s="18" t="str">
        <f>IFERROR(__xludf.DUMMYFUNCTION("""COMPUTED_VALUE"""),"6")</f>
        <v>6</v>
      </c>
      <c r="E21" s="19" t="str">
        <f>IFERROR(__xludf.DUMMYFUNCTION("""COMPUTED_VALUE"""),"Lineamientos Generales ")</f>
        <v>Lineamientos Generales </v>
      </c>
      <c r="F21" s="20" t="str">
        <f>IFERROR(__xludf.DUMMYFUNCTION("""COMPUTED_VALUE"""),"Publicar la encuesta de tramites de la AUNAP en pagina WEB y otros medios  ")</f>
        <v>Publicar la encuesta de tramites de la AUNAP en pagina WEB y otros medios  </v>
      </c>
      <c r="G21" s="21" t="str">
        <f>IFERROR(__xludf.DUMMYFUNCTION("""COMPUTED_VALUE"""),"Numero de publicaciones de la encuesta en pagina web y otros medios de la Entidad ")</f>
        <v>Numero de publicaciones de la encuesta en pagina web y otros medios de la Entidad </v>
      </c>
      <c r="H21" s="22">
        <f>IFERROR(__xludf.DUMMYFUNCTION("""COMPUTED_VALUE"""),2.0)</f>
        <v>2</v>
      </c>
      <c r="I21" s="23" t="str">
        <f>IFERROR(__xludf.DUMMYFUNCTION("""COMPUTED_VALUE"""),"Publicaciones de la encuesta en pagina web y otros medios de la Entidad ")</f>
        <v>Publicaciones de la encuesta en pagina web y otros medios de la Entidad </v>
      </c>
      <c r="J21" s="24" t="str">
        <f>IFERROR(__xludf.DUMMYFUNCTION("""COMPUTED_VALUE"""),"DTAF ")</f>
        <v>DTAF </v>
      </c>
      <c r="K21" s="25">
        <f>IFERROR(__xludf.DUMMYFUNCTION("""COMPUTED_VALUE"""),1.0)</f>
        <v>1</v>
      </c>
      <c r="L21" s="25">
        <f>IFERROR(__xludf.DUMMYFUNCTION("""COMPUTED_VALUE"""),0.0)</f>
        <v>0</v>
      </c>
      <c r="M21" s="26">
        <f>IFERROR(__xludf.DUMMYFUNCTION("""COMPUTED_VALUE"""),1.0)</f>
        <v>1</v>
      </c>
    </row>
    <row r="22" ht="52.5" customHeight="1">
      <c r="A22" s="16"/>
      <c r="B22" s="17" t="str">
        <f t="shared" si="1"/>
        <v>7</v>
      </c>
      <c r="C22" s="18" t="str">
        <f>IFERROR(__xludf.DUMMYFUNCTION("""COMPUTED_VALUE"""),"RACIONALIZACIÓN DE TRAMITES")</f>
        <v>RACIONALIZACIÓN DE TRAMITES</v>
      </c>
      <c r="D22" s="18" t="str">
        <f>IFERROR(__xludf.DUMMYFUNCTION("""COMPUTED_VALUE"""),"7")</f>
        <v>7</v>
      </c>
      <c r="E22" s="19" t="str">
        <f>IFERROR(__xludf.DUMMYFUNCTION("""COMPUTED_VALUE"""),"Lineamientos Generales ")</f>
        <v>Lineamientos Generales </v>
      </c>
      <c r="F22" s="20" t="str">
        <f>IFERROR(__xludf.DUMMYFUNCTION("""COMPUTED_VALUE"""),"Publicar las tasas y/o derechos de los tramites que tiene la Entidad")</f>
        <v>Publicar las tasas y/o derechos de los tramites que tiene la Entidad</v>
      </c>
      <c r="G22" s="21" t="str">
        <f>IFERROR(__xludf.DUMMYFUNCTION("""COMPUTED_VALUE"""),"Numero de publicaciones en pagina web de las tasas y/o derechos de los tramites de la Entidad ")</f>
        <v>Numero de publicaciones en pagina web de las tasas y/o derechos de los tramites de la Entidad </v>
      </c>
      <c r="H22" s="22">
        <f>IFERROR(__xludf.DUMMYFUNCTION("""COMPUTED_VALUE"""),1.0)</f>
        <v>1</v>
      </c>
      <c r="I22" s="23" t="str">
        <f>IFERROR(__xludf.DUMMYFUNCTION("""COMPUTED_VALUE"""),"Publicaciones en pagina web de las tasas y/o derechos de los tramites de la Entidad ")</f>
        <v>Publicaciones en pagina web de las tasas y/o derechos de los tramites de la Entidad </v>
      </c>
      <c r="J22" s="24" t="str">
        <f>IFERROR(__xludf.DUMMYFUNCTION("""COMPUTED_VALUE"""),"DTAF ")</f>
        <v>DTAF </v>
      </c>
      <c r="K22" s="25">
        <f>IFERROR(__xludf.DUMMYFUNCTION("""COMPUTED_VALUE"""),1.0)</f>
        <v>1</v>
      </c>
      <c r="L22" s="25">
        <f>IFERROR(__xludf.DUMMYFUNCTION("""COMPUTED_VALUE"""),0.0)</f>
        <v>0</v>
      </c>
      <c r="M22" s="26">
        <f>IFERROR(__xludf.DUMMYFUNCTION("""COMPUTED_VALUE"""),0.0)</f>
        <v>0</v>
      </c>
    </row>
    <row r="23" ht="52.5" customHeight="1">
      <c r="A23" s="16"/>
      <c r="B23" s="17" t="str">
        <f t="shared" si="1"/>
        <v>8</v>
      </c>
      <c r="C23" s="18" t="str">
        <f>IFERROR(__xludf.DUMMYFUNCTION("""COMPUTED_VALUE"""),"RACIONALIZACIÓN DE TRAMITES")</f>
        <v>RACIONALIZACIÓN DE TRAMITES</v>
      </c>
      <c r="D23" s="18" t="str">
        <f>IFERROR(__xludf.DUMMYFUNCTION("""COMPUTED_VALUE"""),"8")</f>
        <v>8</v>
      </c>
      <c r="E23" s="19" t="str">
        <f>IFERROR(__xludf.DUMMYFUNCTION("""COMPUTED_VALUE"""),"Lineamientos Generales ")</f>
        <v>Lineamientos Generales </v>
      </c>
      <c r="F23" s="20" t="str">
        <f>IFERROR(__xludf.DUMMYFUNCTION("""COMPUTED_VALUE"""),"Realizar Instagram live de tramites para participación ciudadana ")</f>
        <v>Realizar Instagram live de tramites para participación ciudadana </v>
      </c>
      <c r="G23" s="21" t="str">
        <f>IFERROR(__xludf.DUMMYFUNCTION("""COMPUTED_VALUE"""),"Instagram live de tramites para participación ciudadana realizados ")</f>
        <v>Instagram live de tramites para participación ciudadana realizados </v>
      </c>
      <c r="H23" s="22">
        <f>IFERROR(__xludf.DUMMYFUNCTION("""COMPUTED_VALUE"""),2.0)</f>
        <v>2</v>
      </c>
      <c r="I23" s="23" t="str">
        <f>IFERROR(__xludf.DUMMYFUNCTION("""COMPUTED_VALUE"""),"Pantallazos de Instragram live realizados ")</f>
        <v>Pantallazos de Instragram live realizados </v>
      </c>
      <c r="J23" s="24" t="str">
        <f>IFERROR(__xludf.DUMMYFUNCTION("""COMPUTED_VALUE"""),"DTAF ")</f>
        <v>DTAF </v>
      </c>
      <c r="K23" s="25">
        <f>IFERROR(__xludf.DUMMYFUNCTION("""COMPUTED_VALUE"""),1.0)</f>
        <v>1</v>
      </c>
      <c r="L23" s="25">
        <f>IFERROR(__xludf.DUMMYFUNCTION("""COMPUTED_VALUE"""),0.0)</f>
        <v>0</v>
      </c>
      <c r="M23" s="26">
        <f>IFERROR(__xludf.DUMMYFUNCTION("""COMPUTED_VALUE"""),1.0)</f>
        <v>1</v>
      </c>
    </row>
    <row r="24" ht="52.5" customHeight="1">
      <c r="A24" s="16"/>
      <c r="B24" s="17" t="str">
        <f t="shared" si="1"/>
        <v>9</v>
      </c>
      <c r="C24" s="18" t="str">
        <f>IFERROR(__xludf.DUMMYFUNCTION("""COMPUTED_VALUE"""),"RACIONALIZACIÓN DE TRAMITES")</f>
        <v>RACIONALIZACIÓN DE TRAMITES</v>
      </c>
      <c r="D24" s="18" t="str">
        <f>IFERROR(__xludf.DUMMYFUNCTION("""COMPUTED_VALUE"""),"9")</f>
        <v>9</v>
      </c>
      <c r="E24" s="19" t="str">
        <f>IFERROR(__xludf.DUMMYFUNCTION("""COMPUTED_VALUE"""),"Lineamientos Generales ")</f>
        <v>Lineamientos Generales </v>
      </c>
      <c r="F24" s="20" t="str">
        <f>IFERROR(__xludf.DUMMYFUNCTION("""COMPUTED_VALUE"""),"Plan de actividades cumplimiento Decreto 088 de 24 de enero 2022")</f>
        <v>Plan de actividades cumplimiento Decreto 088 de 24 de enero 2022</v>
      </c>
      <c r="G24" s="21" t="str">
        <f>IFERROR(__xludf.DUMMYFUNCTION("""COMPUTED_VALUE"""),"Plan de actividades Decreto 088 de 24 de enero 2022 elaborado ")</f>
        <v>Plan de actividades Decreto 088 de 24 de enero 2022 elaborado </v>
      </c>
      <c r="H24" s="22">
        <f>IFERROR(__xludf.DUMMYFUNCTION("""COMPUTED_VALUE"""),1.0)</f>
        <v>1</v>
      </c>
      <c r="I24" s="23" t="str">
        <f>IFERROR(__xludf.DUMMYFUNCTION("""COMPUTED_VALUE"""),"Matriz Plan de actividades Decreto 088 de 24 de enero 2022 con las evidencias planteadas ")</f>
        <v>Matriz Plan de actividades Decreto 088 de 24 de enero 2022 con las evidencias planteadas </v>
      </c>
      <c r="J24" s="24" t="str">
        <f>IFERROR(__xludf.DUMMYFUNCTION("""COMPUTED_VALUE"""),"DTAF ")</f>
        <v>DTAF </v>
      </c>
      <c r="K24" s="25">
        <f>IFERROR(__xludf.DUMMYFUNCTION("""COMPUTED_VALUE"""),1.0)</f>
        <v>1</v>
      </c>
      <c r="L24" s="25">
        <f>IFERROR(__xludf.DUMMYFUNCTION("""COMPUTED_VALUE"""),0.0)</f>
        <v>0</v>
      </c>
      <c r="M24" s="26">
        <f>IFERROR(__xludf.DUMMYFUNCTION("""COMPUTED_VALUE"""),0.0)</f>
        <v>0</v>
      </c>
    </row>
    <row r="25" ht="52.5" customHeight="1">
      <c r="A25" s="16"/>
      <c r="B25" s="17" t="str">
        <f t="shared" si="1"/>
        <v>10</v>
      </c>
      <c r="C25" s="18" t="str">
        <f>IFERROR(__xludf.DUMMYFUNCTION("""COMPUTED_VALUE"""),"RACIONALIZACIÓN DE TRAMITES")</f>
        <v>RACIONALIZACIÓN DE TRAMITES</v>
      </c>
      <c r="D25" s="18" t="str">
        <f>IFERROR(__xludf.DUMMYFUNCTION("""COMPUTED_VALUE"""),"10")</f>
        <v>10</v>
      </c>
      <c r="E25" s="19" t="str">
        <f>IFERROR(__xludf.DUMMYFUNCTION("""COMPUTED_VALUE"""),"Lineamientos Generales ")</f>
        <v>Lineamientos Generales </v>
      </c>
      <c r="F25" s="20" t="str">
        <f>IFERROR(__xludf.DUMMYFUNCTION("""COMPUTED_VALUE"""),"Identificación y conformación de equipo de trabajo para desarrollar las acciones de priorización de los trámites")</f>
        <v>Identificación y conformación de equipo de trabajo para desarrollar las acciones de priorización de los trámites</v>
      </c>
      <c r="G25" s="21" t="str">
        <f>IFERROR(__xludf.DUMMYFUNCTION("""COMPUTED_VALUE"""),"Grupo de trabajo conformado ")</f>
        <v>Grupo de trabajo conformado </v>
      </c>
      <c r="H25" s="22">
        <f>IFERROR(__xludf.DUMMYFUNCTION("""COMPUTED_VALUE"""),1.0)</f>
        <v>1</v>
      </c>
      <c r="I25" s="23" t="str">
        <f>IFERROR(__xludf.DUMMYFUNCTION("""COMPUTED_VALUE"""),"Acta de conformación del equipo de trabajo. ")</f>
        <v>Acta de conformación del equipo de trabajo. </v>
      </c>
      <c r="J25" s="24" t="str">
        <f>IFERROR(__xludf.DUMMYFUNCTION("""COMPUTED_VALUE"""),"DTAF ")</f>
        <v>DTAF </v>
      </c>
      <c r="K25" s="25">
        <f>IFERROR(__xludf.DUMMYFUNCTION("""COMPUTED_VALUE"""),1.0)</f>
        <v>1</v>
      </c>
      <c r="L25" s="25">
        <f>IFERROR(__xludf.DUMMYFUNCTION("""COMPUTED_VALUE"""),0.0)</f>
        <v>0</v>
      </c>
      <c r="M25" s="26">
        <f>IFERROR(__xludf.DUMMYFUNCTION("""COMPUTED_VALUE"""),0.0)</f>
        <v>0</v>
      </c>
    </row>
    <row r="26" ht="52.5" customHeight="1">
      <c r="A26" s="16"/>
      <c r="B26" s="17" t="str">
        <f t="shared" si="1"/>
        <v>11</v>
      </c>
      <c r="C26" s="18" t="str">
        <f>IFERROR(__xludf.DUMMYFUNCTION("""COMPUTED_VALUE"""),"RACIONALIZACIÓN DE TRAMITES")</f>
        <v>RACIONALIZACIÓN DE TRAMITES</v>
      </c>
      <c r="D26" s="18" t="str">
        <f>IFERROR(__xludf.DUMMYFUNCTION("""COMPUTED_VALUE"""),"11")</f>
        <v>11</v>
      </c>
      <c r="E26" s="19" t="str">
        <f>IFERROR(__xludf.DUMMYFUNCTION("""COMPUTED_VALUE"""),"Lineamientos Generales ")</f>
        <v>Lineamientos Generales </v>
      </c>
      <c r="F26" s="20" t="str">
        <f>IFERROR(__xludf.DUMMYFUNCTION("""COMPUTED_VALUE"""),"Diagnóstico para determinar el 30%: cuatro de los catorce trámites, para priorizar en digitalización y automatización. ")</f>
        <v>Diagnóstico para determinar el 30%: cuatro de los catorce trámites, para priorizar en digitalización y automatización. </v>
      </c>
      <c r="G26" s="21" t="str">
        <f>IFERROR(__xludf.DUMMYFUNCTION("""COMPUTED_VALUE"""),"Diagnostico de priorización de tramites elaborado ")</f>
        <v>Diagnostico de priorización de tramites elaborado </v>
      </c>
      <c r="H26" s="22">
        <f>IFERROR(__xludf.DUMMYFUNCTION("""COMPUTED_VALUE"""),1.0)</f>
        <v>1</v>
      </c>
      <c r="I26" s="23" t="str">
        <f>IFERROR(__xludf.DUMMYFUNCTION("""COMPUTED_VALUE"""),"Acta de comité institucional de gestión y desempeño con aprobación de la priorización de los trámites")</f>
        <v>Acta de comité institucional de gestión y desempeño con aprobación de la priorización de los trámites</v>
      </c>
      <c r="J26" s="24" t="str">
        <f>IFERROR(__xludf.DUMMYFUNCTION("""COMPUTED_VALUE"""),"DTAF ")</f>
        <v>DTAF </v>
      </c>
      <c r="K26" s="25">
        <f>IFERROR(__xludf.DUMMYFUNCTION("""COMPUTED_VALUE"""),1.0)</f>
        <v>1</v>
      </c>
      <c r="L26" s="25">
        <f>IFERROR(__xludf.DUMMYFUNCTION("""COMPUTED_VALUE"""),0.0)</f>
        <v>0</v>
      </c>
      <c r="M26" s="26">
        <f>IFERROR(__xludf.DUMMYFUNCTION("""COMPUTED_VALUE"""),0.0)</f>
        <v>0</v>
      </c>
    </row>
    <row r="27" ht="52.5" customHeight="1">
      <c r="A27" s="16"/>
      <c r="B27" s="17" t="str">
        <f t="shared" si="1"/>
        <v>12</v>
      </c>
      <c r="C27" s="18" t="str">
        <f>IFERROR(__xludf.DUMMYFUNCTION("""COMPUTED_VALUE"""),"RACIONALIZACIÓN DE TRAMITES")</f>
        <v>RACIONALIZACIÓN DE TRAMITES</v>
      </c>
      <c r="D27" s="18" t="str">
        <f>IFERROR(__xludf.DUMMYFUNCTION("""COMPUTED_VALUE"""),"12")</f>
        <v>12</v>
      </c>
      <c r="E27" s="19" t="str">
        <f>IFERROR(__xludf.DUMMYFUNCTION("""COMPUTED_VALUE"""),"Lineamientos Generales ")</f>
        <v>Lineamientos Generales </v>
      </c>
      <c r="F27" s="20" t="str">
        <f>IFERROR(__xludf.DUMMYFUNCTION("""COMPUTED_VALUE"""),"Construcción del documento de requerimientos técnicos de los trámites. ")</f>
        <v>Construcción del documento de requerimientos técnicos de los trámites. </v>
      </c>
      <c r="G27" s="21" t="str">
        <f>IFERROR(__xludf.DUMMYFUNCTION("""COMPUTED_VALUE"""),"Documento de requimientos tecnicos de los tramites elaborado  ")</f>
        <v>Documento de requimientos tecnicos de los tramites elaborado  </v>
      </c>
      <c r="H27" s="22">
        <f>IFERROR(__xludf.DUMMYFUNCTION("""COMPUTED_VALUE"""),1.0)</f>
        <v>1</v>
      </c>
      <c r="I27" s="23" t="str">
        <f>IFERROR(__xludf.DUMMYFUNCTION("""COMPUTED_VALUE"""),"Anexo técnico")</f>
        <v>Anexo técnico</v>
      </c>
      <c r="J27" s="24" t="str">
        <f>IFERROR(__xludf.DUMMYFUNCTION("""COMPUTED_VALUE"""),"DTAF ")</f>
        <v>DTAF </v>
      </c>
      <c r="K27" s="25">
        <f>IFERROR(__xludf.DUMMYFUNCTION("""COMPUTED_VALUE"""),1.0)</f>
        <v>1</v>
      </c>
      <c r="L27" s="25">
        <f>IFERROR(__xludf.DUMMYFUNCTION("""COMPUTED_VALUE"""),0.0)</f>
        <v>0</v>
      </c>
      <c r="M27" s="26">
        <f>IFERROR(__xludf.DUMMYFUNCTION("""COMPUTED_VALUE"""),0.0)</f>
        <v>0</v>
      </c>
    </row>
    <row r="28" ht="52.5" customHeight="1">
      <c r="A28" s="16"/>
      <c r="B28" s="17" t="str">
        <f t="shared" si="1"/>
        <v>13</v>
      </c>
      <c r="C28" s="18" t="str">
        <f>IFERROR(__xludf.DUMMYFUNCTION("""COMPUTED_VALUE"""),"RACIONALIZACIÓN DE TRAMITES")</f>
        <v>RACIONALIZACIÓN DE TRAMITES</v>
      </c>
      <c r="D28" s="18" t="str">
        <f>IFERROR(__xludf.DUMMYFUNCTION("""COMPUTED_VALUE"""),"13")</f>
        <v>13</v>
      </c>
      <c r="E28" s="19" t="str">
        <f>IFERROR(__xludf.DUMMYFUNCTION("""COMPUTED_VALUE"""),"Lineamientos Generales ")</f>
        <v>Lineamientos Generales </v>
      </c>
      <c r="F28" s="20" t="str">
        <f>IFERROR(__xludf.DUMMYFUNCTION("""COMPUTED_VALUE"""),"Estudios de mercado y evaluación de presupuesto")</f>
        <v>Estudios de mercado y evaluación de presupuesto</v>
      </c>
      <c r="G28" s="21" t="str">
        <f>IFERROR(__xludf.DUMMYFUNCTION("""COMPUTED_VALUE"""),"Estudio de mercado y evaluacion de presupuesto elaborado ")</f>
        <v>Estudio de mercado y evaluacion de presupuesto elaborado </v>
      </c>
      <c r="H28" s="22">
        <f>IFERROR(__xludf.DUMMYFUNCTION("""COMPUTED_VALUE"""),1.0)</f>
        <v>1</v>
      </c>
      <c r="I28" s="23" t="str">
        <f>IFERROR(__xludf.DUMMYFUNCTION("""COMPUTED_VALUE"""),"Anexo técnico de estudios de mercado. ")</f>
        <v>Anexo técnico de estudios de mercado. </v>
      </c>
      <c r="J28" s="24" t="str">
        <f>IFERROR(__xludf.DUMMYFUNCTION("""COMPUTED_VALUE"""),"DTAF ")</f>
        <v>DTAF </v>
      </c>
      <c r="K28" s="25">
        <f>IFERROR(__xludf.DUMMYFUNCTION("""COMPUTED_VALUE"""),0.0)</f>
        <v>0</v>
      </c>
      <c r="L28" s="25">
        <f>IFERROR(__xludf.DUMMYFUNCTION("""COMPUTED_VALUE"""),1.0)</f>
        <v>1</v>
      </c>
      <c r="M28" s="26">
        <f>IFERROR(__xludf.DUMMYFUNCTION("""COMPUTED_VALUE"""),0.0)</f>
        <v>0</v>
      </c>
    </row>
    <row r="29" ht="52.5" customHeight="1">
      <c r="A29" s="16"/>
      <c r="B29" s="17" t="str">
        <f t="shared" si="1"/>
        <v>14</v>
      </c>
      <c r="C29" s="18" t="str">
        <f>IFERROR(__xludf.DUMMYFUNCTION("""COMPUTED_VALUE"""),"RACIONALIZACIÓN DE TRAMITES")</f>
        <v>RACIONALIZACIÓN DE TRAMITES</v>
      </c>
      <c r="D29" s="18" t="str">
        <f>IFERROR(__xludf.DUMMYFUNCTION("""COMPUTED_VALUE"""),"14")</f>
        <v>14</v>
      </c>
      <c r="E29" s="19" t="str">
        <f>IFERROR(__xludf.DUMMYFUNCTION("""COMPUTED_VALUE"""),"Lineamientos Generales ")</f>
        <v>Lineamientos Generales </v>
      </c>
      <c r="F29" s="20" t="str">
        <f>IFERROR(__xludf.DUMMYFUNCTION("""COMPUTED_VALUE"""),"Digitalizar y automatizar cuatro trámites priorizados")</f>
        <v>Digitalizar y automatizar cuatro trámites priorizados</v>
      </c>
      <c r="G29" s="21" t="str">
        <f>IFERROR(__xludf.DUMMYFUNCTION("""COMPUTED_VALUE"""),"Digitalización y automatizacion de los tramites priorizados ")</f>
        <v>Digitalización y automatizacion de los tramites priorizados </v>
      </c>
      <c r="H29" s="22">
        <f>IFERROR(__xludf.DUMMYFUNCTION("""COMPUTED_VALUE"""),1.0)</f>
        <v>1</v>
      </c>
      <c r="I29" s="23" t="str">
        <f>IFERROR(__xludf.DUMMYFUNCTION("""COMPUTED_VALUE"""),"Digitalizacion y automatizacion ")</f>
        <v>Digitalizacion y automatizacion </v>
      </c>
      <c r="J29" s="24" t="str">
        <f>IFERROR(__xludf.DUMMYFUNCTION("""COMPUTED_VALUE"""),"DTAF ")</f>
        <v>DTAF </v>
      </c>
      <c r="K29" s="25">
        <f>IFERROR(__xludf.DUMMYFUNCTION("""COMPUTED_VALUE"""),0.0)</f>
        <v>0</v>
      </c>
      <c r="L29" s="25">
        <f>IFERROR(__xludf.DUMMYFUNCTION("""COMPUTED_VALUE"""),0.0)</f>
        <v>0</v>
      </c>
      <c r="M29" s="26">
        <f>IFERROR(__xludf.DUMMYFUNCTION("""COMPUTED_VALUE"""),1.0)</f>
        <v>1</v>
      </c>
    </row>
    <row r="30" ht="52.5" customHeight="1">
      <c r="A30" s="16"/>
      <c r="B30" s="17" t="str">
        <f t="shared" si="1"/>
        <v>1</v>
      </c>
      <c r="C30" s="18" t="str">
        <f>IFERROR(__xludf.DUMMYFUNCTION("""COMPUTED_VALUE"""),"RENDICIÓN DE CUENTAS")</f>
        <v>RENDICIÓN DE CUENTAS</v>
      </c>
      <c r="D30" s="18" t="str">
        <f>IFERROR(__xludf.DUMMYFUNCTION("""COMPUTED_VALUE"""),"1")</f>
        <v>1</v>
      </c>
      <c r="E30" s="19" t="str">
        <f>IFERROR(__xludf.DUMMYFUNCTION("""COMPUTED_VALUE"""),"Información")</f>
        <v>Información</v>
      </c>
      <c r="F30" s="20" t="str">
        <f>IFERROR(__xludf.DUMMYFUNCTION("""COMPUTED_VALUE"""),"Conformación del Equipo líder del proceso de Rendición de Cuentas")</f>
        <v>Conformación del Equipo líder del proceso de Rendición de Cuentas</v>
      </c>
      <c r="G30" s="21" t="str">
        <f>IFERROR(__xludf.DUMMYFUNCTION("""COMPUTED_VALUE"""),"acta de conformación de Equipo de trabajo de RDC")</f>
        <v>acta de conformación de Equipo de trabajo de RDC</v>
      </c>
      <c r="H30" s="22">
        <f>IFERROR(__xludf.DUMMYFUNCTION("""COMPUTED_VALUE"""),1.0)</f>
        <v>1</v>
      </c>
      <c r="I30" s="23" t="str">
        <f>IFERROR(__xludf.DUMMYFUNCTION("""COMPUTED_VALUE"""),"acta Conformación del Equipo de trabajo RDC")</f>
        <v>acta Conformación del Equipo de trabajo RDC</v>
      </c>
      <c r="J30" s="24" t="str">
        <f>IFERROR(__xludf.DUMMYFUNCTION("""COMPUTED_VALUE"""),"Dirección General ")</f>
        <v>Dirección General </v>
      </c>
      <c r="K30" s="25">
        <f>IFERROR(__xludf.DUMMYFUNCTION("""COMPUTED_VALUE"""),1.0)</f>
        <v>1</v>
      </c>
      <c r="L30" s="25">
        <f>IFERROR(__xludf.DUMMYFUNCTION("""COMPUTED_VALUE"""),0.0)</f>
        <v>0</v>
      </c>
      <c r="M30" s="26">
        <f>IFERROR(__xludf.DUMMYFUNCTION("""COMPUTED_VALUE"""),0.0)</f>
        <v>0</v>
      </c>
    </row>
    <row r="31" ht="52.5" customHeight="1">
      <c r="A31" s="16"/>
      <c r="B31" s="17" t="str">
        <f t="shared" si="1"/>
        <v>2</v>
      </c>
      <c r="C31" s="18" t="str">
        <f>IFERROR(__xludf.DUMMYFUNCTION("""COMPUTED_VALUE"""),"RENDICIÓN DE CUENTAS")</f>
        <v>RENDICIÓN DE CUENTAS</v>
      </c>
      <c r="D31" s="18" t="str">
        <f>IFERROR(__xludf.DUMMYFUNCTION("""COMPUTED_VALUE"""),"2")</f>
        <v>2</v>
      </c>
      <c r="E31" s="19" t="str">
        <f>IFERROR(__xludf.DUMMYFUNCTION("""COMPUTED_VALUE"""),"Información")</f>
        <v>Información</v>
      </c>
      <c r="F31" s="20" t="str">
        <f>IFERROR(__xludf.DUMMYFUNCTION("""COMPUTED_VALUE"""),"Establecer y divulgar el cronograma que identifica y define los espacios de diálogo y/o eventos de la entidad")</f>
        <v>Establecer y divulgar el cronograma que identifica y define los espacios de diálogo y/o eventos de la entidad</v>
      </c>
      <c r="G31" s="21" t="str">
        <f>IFERROR(__xludf.DUMMYFUNCTION("""COMPUTED_VALUE"""),"Cronograma publicado de espacios de diálogo y/o eventos")</f>
        <v>Cronograma publicado de espacios de diálogo y/o eventos</v>
      </c>
      <c r="H31" s="22">
        <f>IFERROR(__xludf.DUMMYFUNCTION("""COMPUTED_VALUE"""),1.0)</f>
        <v>1</v>
      </c>
      <c r="I31" s="23" t="str">
        <f>IFERROR(__xludf.DUMMYFUNCTION("""COMPUTED_VALUE"""),"Cronograma publicado")</f>
        <v>Cronograma publicado</v>
      </c>
      <c r="J31" s="24" t="str">
        <f>IFERROR(__xludf.DUMMYFUNCTION("""COMPUTED_VALUE"""),"Comunicaciones")</f>
        <v>Comunicaciones</v>
      </c>
      <c r="K31" s="25">
        <f>IFERROR(__xludf.DUMMYFUNCTION("""COMPUTED_VALUE"""),0.0)</f>
        <v>0</v>
      </c>
      <c r="L31" s="25">
        <f>IFERROR(__xludf.DUMMYFUNCTION("""COMPUTED_VALUE"""),1.0)</f>
        <v>1</v>
      </c>
      <c r="M31" s="26">
        <f>IFERROR(__xludf.DUMMYFUNCTION("""COMPUTED_VALUE"""),0.0)</f>
        <v>0</v>
      </c>
    </row>
    <row r="32" ht="52.5" customHeight="1">
      <c r="A32" s="16"/>
      <c r="B32" s="17" t="str">
        <f t="shared" si="1"/>
        <v>3</v>
      </c>
      <c r="C32" s="18" t="str">
        <f>IFERROR(__xludf.DUMMYFUNCTION("""COMPUTED_VALUE"""),"RENDICIÓN DE CUENTAS")</f>
        <v>RENDICIÓN DE CUENTAS</v>
      </c>
      <c r="D32" s="18" t="str">
        <f>IFERROR(__xludf.DUMMYFUNCTION("""COMPUTED_VALUE"""),"3")</f>
        <v>3</v>
      </c>
      <c r="E32" s="19" t="str">
        <f>IFERROR(__xludf.DUMMYFUNCTION("""COMPUTED_VALUE"""),"Información")</f>
        <v>Información</v>
      </c>
      <c r="F32" s="20" t="str">
        <f>IFERROR(__xludf.DUMMYFUNCTION("""COMPUTED_VALUE"""),"Elaborar la Estrategia Rendición de Cuentas - Rdc")</f>
        <v>Elaborar la Estrategia Rendición de Cuentas - Rdc</v>
      </c>
      <c r="G32" s="21" t="str">
        <f>IFERROR(__xludf.DUMMYFUNCTION("""COMPUTED_VALUE"""),"Estrategia de Rendición de Cuentas Elaborada y Publicada")</f>
        <v>Estrategia de Rendición de Cuentas Elaborada y Publicada</v>
      </c>
      <c r="H32" s="22">
        <f>IFERROR(__xludf.DUMMYFUNCTION("""COMPUTED_VALUE"""),1.0)</f>
        <v>1</v>
      </c>
      <c r="I32" s="23" t="str">
        <f>IFERROR(__xludf.DUMMYFUNCTION("""COMPUTED_VALUE"""),"Documento Estrategia de Rendición de cuentas publicado")</f>
        <v>Documento Estrategia de Rendición de cuentas publicado</v>
      </c>
      <c r="J32" s="24" t="str">
        <f>IFERROR(__xludf.DUMMYFUNCTION("""COMPUTED_VALUE"""),"Equipo de trabajo RDC")</f>
        <v>Equipo de trabajo RDC</v>
      </c>
      <c r="K32" s="25">
        <f>IFERROR(__xludf.DUMMYFUNCTION("""COMPUTED_VALUE"""),0.0)</f>
        <v>0</v>
      </c>
      <c r="L32" s="25">
        <f>IFERROR(__xludf.DUMMYFUNCTION("""COMPUTED_VALUE"""),1.0)</f>
        <v>1</v>
      </c>
      <c r="M32" s="26">
        <f>IFERROR(__xludf.DUMMYFUNCTION("""COMPUTED_VALUE"""),0.0)</f>
        <v>0</v>
      </c>
    </row>
    <row r="33" ht="52.5" customHeight="1">
      <c r="A33" s="16"/>
      <c r="B33" s="17" t="str">
        <f t="shared" si="1"/>
        <v>4</v>
      </c>
      <c r="C33" s="18" t="str">
        <f>IFERROR(__xludf.DUMMYFUNCTION("""COMPUTED_VALUE"""),"RENDICIÓN DE CUENTAS")</f>
        <v>RENDICIÓN DE CUENTAS</v>
      </c>
      <c r="D33" s="18" t="str">
        <f>IFERROR(__xludf.DUMMYFUNCTION("""COMPUTED_VALUE"""),"4")</f>
        <v>4</v>
      </c>
      <c r="E33" s="19" t="str">
        <f>IFERROR(__xludf.DUMMYFUNCTION("""COMPUTED_VALUE"""),"Información")</f>
        <v>Información</v>
      </c>
      <c r="F33" s="20" t="str">
        <f>IFERROR(__xludf.DUMMYFUNCTION("""COMPUTED_VALUE"""),"Consolidar y publicar la Estrategia Rendición de Cuentas - Rdc")</f>
        <v>Consolidar y publicar la Estrategia Rendición de Cuentas - Rdc</v>
      </c>
      <c r="G33" s="21" t="str">
        <f>IFERROR(__xludf.DUMMYFUNCTION("""COMPUTED_VALUE"""),"Estrategia de Rendición de Cuentas Elaborada y Publicada")</f>
        <v>Estrategia de Rendición de Cuentas Elaborada y Publicada</v>
      </c>
      <c r="H33" s="22">
        <f>IFERROR(__xludf.DUMMYFUNCTION("""COMPUTED_VALUE"""),1.0)</f>
        <v>1</v>
      </c>
      <c r="I33" s="23" t="str">
        <f>IFERROR(__xludf.DUMMYFUNCTION("""COMPUTED_VALUE"""),"Documento Estrategia de Rendición de cuentas publicado")</f>
        <v>Documento Estrategia de Rendición de cuentas publicado</v>
      </c>
      <c r="J33" s="24" t="str">
        <f>IFERROR(__xludf.DUMMYFUNCTION("""COMPUTED_VALUE"""),"Equipo de trabajo RDC")</f>
        <v>Equipo de trabajo RDC</v>
      </c>
      <c r="K33" s="25">
        <f>IFERROR(__xludf.DUMMYFUNCTION("""COMPUTED_VALUE"""),0.0)</f>
        <v>0</v>
      </c>
      <c r="L33" s="25">
        <f>IFERROR(__xludf.DUMMYFUNCTION("""COMPUTED_VALUE"""),1.0)</f>
        <v>1</v>
      </c>
      <c r="M33" s="26">
        <f>IFERROR(__xludf.DUMMYFUNCTION("""COMPUTED_VALUE"""),0.0)</f>
        <v>0</v>
      </c>
    </row>
    <row r="34" ht="52.5" customHeight="1">
      <c r="A34" s="16"/>
      <c r="B34" s="17" t="str">
        <f t="shared" si="1"/>
        <v>5</v>
      </c>
      <c r="C34" s="18" t="str">
        <f>IFERROR(__xludf.DUMMYFUNCTION("""COMPUTED_VALUE"""),"RENDICIÓN DE CUENTAS")</f>
        <v>RENDICIÓN DE CUENTAS</v>
      </c>
      <c r="D34" s="18" t="str">
        <f>IFERROR(__xludf.DUMMYFUNCTION("""COMPUTED_VALUE"""),"5")</f>
        <v>5</v>
      </c>
      <c r="E34" s="19" t="str">
        <f>IFERROR(__xludf.DUMMYFUNCTION("""COMPUTED_VALUE"""),"Información")</f>
        <v>Información</v>
      </c>
      <c r="F34" s="20" t="str">
        <f>IFERROR(__xludf.DUMMYFUNCTION("""COMPUTED_VALUE"""),"Elaborar y Publicar Informe de Gestión de la Entidad vigencia 2021")</f>
        <v>Elaborar y Publicar Informe de Gestión de la Entidad vigencia 2021</v>
      </c>
      <c r="G34" s="21" t="str">
        <f>IFERROR(__xludf.DUMMYFUNCTION("""COMPUTED_VALUE"""),"Informe de gestión institucional publicado")</f>
        <v>Informe de gestión institucional publicado</v>
      </c>
      <c r="H34" s="22">
        <f>IFERROR(__xludf.DUMMYFUNCTION("""COMPUTED_VALUE"""),1.0)</f>
        <v>1</v>
      </c>
      <c r="I34" s="23" t="str">
        <f>IFERROR(__xludf.DUMMYFUNCTION("""COMPUTED_VALUE"""),"Informe de gestión publicado")</f>
        <v>Informe de gestión publicado</v>
      </c>
      <c r="J34" s="24" t="str">
        <f>IFERROR(__xludf.DUMMYFUNCTION("""COMPUTED_VALUE"""),"Equipo de trabajo RDC")</f>
        <v>Equipo de trabajo RDC</v>
      </c>
      <c r="K34" s="25">
        <f>IFERROR(__xludf.DUMMYFUNCTION("""COMPUTED_VALUE"""),0.0)</f>
        <v>0</v>
      </c>
      <c r="L34" s="25">
        <f>IFERROR(__xludf.DUMMYFUNCTION("""COMPUTED_VALUE"""),1.0)</f>
        <v>1</v>
      </c>
      <c r="M34" s="26">
        <f>IFERROR(__xludf.DUMMYFUNCTION("""COMPUTED_VALUE"""),0.0)</f>
        <v>0</v>
      </c>
    </row>
    <row r="35" ht="52.5" customHeight="1">
      <c r="A35" s="16"/>
      <c r="B35" s="17" t="str">
        <f t="shared" si="1"/>
        <v>6</v>
      </c>
      <c r="C35" s="18" t="str">
        <f>IFERROR(__xludf.DUMMYFUNCTION("""COMPUTED_VALUE"""),"RENDICIÓN DE CUENTAS")</f>
        <v>RENDICIÓN DE CUENTAS</v>
      </c>
      <c r="D35" s="18" t="str">
        <f>IFERROR(__xludf.DUMMYFUNCTION("""COMPUTED_VALUE"""),"6")</f>
        <v>6</v>
      </c>
      <c r="E35" s="19" t="str">
        <f>IFERROR(__xludf.DUMMYFUNCTION("""COMPUTED_VALUE"""),"Información")</f>
        <v>Información</v>
      </c>
      <c r="F35" s="20" t="str">
        <f>IFERROR(__xludf.DUMMYFUNCTION("""COMPUTED_VALUE"""),"Publicar información de interés y/o de gestión de la Entidad a través de los diferentes canales de comunicación disponibles por la entidad (Redes sociales, página web, intranet), así como en otros medios de comunicación masiva accesibles")</f>
        <v>Publicar información de interés y/o de gestión de la Entidad a través de los diferentes canales de comunicación disponibles por la entidad (Redes sociales, página web, intranet), así como en otros medios de comunicación masiva accesibles</v>
      </c>
      <c r="G35" s="21" t="str">
        <f>IFERROR(__xludf.DUMMYFUNCTION("""COMPUTED_VALUE"""),"Publicaciones realizadas")</f>
        <v>Publicaciones realizadas</v>
      </c>
      <c r="H35" s="22">
        <f>IFERROR(__xludf.DUMMYFUNCTION("""COMPUTED_VALUE"""),30.0)</f>
        <v>30</v>
      </c>
      <c r="I35" s="23" t="str">
        <f>IFERROR(__xludf.DUMMYFUNCTION("""COMPUTED_VALUE"""),"Piezas comunicativas, memes, tuits o vídeos, boletines")</f>
        <v>Piezas comunicativas, memes, tuits o vídeos, boletines</v>
      </c>
      <c r="J35" s="24" t="str">
        <f>IFERROR(__xludf.DUMMYFUNCTION("""COMPUTED_VALUE"""),"Comunicaciones")</f>
        <v>Comunicaciones</v>
      </c>
      <c r="K35" s="25">
        <f>IFERROR(__xludf.DUMMYFUNCTION("""COMPUTED_VALUE"""),10.0)</f>
        <v>10</v>
      </c>
      <c r="L35" s="25">
        <f>IFERROR(__xludf.DUMMYFUNCTION("""COMPUTED_VALUE"""),10.0)</f>
        <v>10</v>
      </c>
      <c r="M35" s="26">
        <f>IFERROR(__xludf.DUMMYFUNCTION("""COMPUTED_VALUE"""),10.0)</f>
        <v>10</v>
      </c>
    </row>
    <row r="36" ht="52.5" customHeight="1">
      <c r="A36" s="16"/>
      <c r="B36" s="17" t="str">
        <f t="shared" si="1"/>
        <v>7</v>
      </c>
      <c r="C36" s="18" t="str">
        <f>IFERROR(__xludf.DUMMYFUNCTION("""COMPUTED_VALUE"""),"RENDICIÓN DE CUENTAS")</f>
        <v>RENDICIÓN DE CUENTAS</v>
      </c>
      <c r="D36" s="18" t="str">
        <f>IFERROR(__xludf.DUMMYFUNCTION("""COMPUTED_VALUE"""),"7")</f>
        <v>7</v>
      </c>
      <c r="E36" s="19" t="str">
        <f>IFERROR(__xludf.DUMMYFUNCTION("""COMPUTED_VALUE"""),"Información")</f>
        <v>Información</v>
      </c>
      <c r="F36" s="20" t="str">
        <f>IFERROR(__xludf.DUMMYFUNCTION("""COMPUTED_VALUE"""),"Publicar información sobre la estrategia ""Agricultura por contrato"" en los diferentes canales de comunicación dispuestos por la entidad,")</f>
        <v>Publicar información sobre la estrategia "Agricultura por contrato" en los diferentes canales de comunicación dispuestos por la entidad,</v>
      </c>
      <c r="G36" s="21" t="str">
        <f>IFERROR(__xludf.DUMMYFUNCTION("""COMPUTED_VALUE"""),"Publicaciones realizadas")</f>
        <v>Publicaciones realizadas</v>
      </c>
      <c r="H36" s="22">
        <f>IFERROR(__xludf.DUMMYFUNCTION("""COMPUTED_VALUE"""),10.0)</f>
        <v>10</v>
      </c>
      <c r="I36" s="23" t="str">
        <f>IFERROR(__xludf.DUMMYFUNCTION("""COMPUTED_VALUE"""),"Piezas comunicativas, memes, tuits o vídeos, boletines, notas, post")</f>
        <v>Piezas comunicativas, memes, tuits o vídeos, boletines, notas, post</v>
      </c>
      <c r="J36" s="24" t="str">
        <f>IFERROR(__xludf.DUMMYFUNCTION("""COMPUTED_VALUE"""),"Comunicaciones")</f>
        <v>Comunicaciones</v>
      </c>
      <c r="K36" s="25">
        <f>IFERROR(__xludf.DUMMYFUNCTION("""COMPUTED_VALUE"""),5.0)</f>
        <v>5</v>
      </c>
      <c r="L36" s="25">
        <f>IFERROR(__xludf.DUMMYFUNCTION("""COMPUTED_VALUE"""),3.0)</f>
        <v>3</v>
      </c>
      <c r="M36" s="26">
        <f>IFERROR(__xludf.DUMMYFUNCTION("""COMPUTED_VALUE"""),2.0)</f>
        <v>2</v>
      </c>
    </row>
    <row r="37" ht="52.5" customHeight="1">
      <c r="A37" s="16"/>
      <c r="B37" s="17" t="str">
        <f t="shared" si="1"/>
        <v>8</v>
      </c>
      <c r="C37" s="18" t="str">
        <f>IFERROR(__xludf.DUMMYFUNCTION("""COMPUTED_VALUE"""),"RENDICIÓN DE CUENTAS")</f>
        <v>RENDICIÓN DE CUENTAS</v>
      </c>
      <c r="D37" s="18" t="str">
        <f>IFERROR(__xludf.DUMMYFUNCTION("""COMPUTED_VALUE"""),"8")</f>
        <v>8</v>
      </c>
      <c r="E37" s="19" t="str">
        <f>IFERROR(__xludf.DUMMYFUNCTION("""COMPUTED_VALUE"""),"Información")</f>
        <v>Información</v>
      </c>
      <c r="F37" s="20" t="str">
        <f>IFERROR(__xludf.DUMMYFUNCTION("""COMPUTED_VALUE"""),"Publicar en medios Free Press información de gestión institucional para los diferentes grupos de interés o en los diferentes canales de comunicación dispuestos por la entidad.")</f>
        <v>Publicar en medios Free Press información de gestión institucional para los diferentes grupos de interés o en los diferentes canales de comunicación dispuestos por la entidad.</v>
      </c>
      <c r="G37" s="21" t="str">
        <f>IFERROR(__xludf.DUMMYFUNCTION("""COMPUTED_VALUE"""),"Publicaciones realizadas")</f>
        <v>Publicaciones realizadas</v>
      </c>
      <c r="H37" s="22">
        <f>IFERROR(__xludf.DUMMYFUNCTION("""COMPUTED_VALUE"""),60.0)</f>
        <v>60</v>
      </c>
      <c r="I37" s="23" t="str">
        <f>IFERROR(__xludf.DUMMYFUNCTION("""COMPUTED_VALUE"""),"Piezas comunicativas, memes, tuits o vídeos, boletines")</f>
        <v>Piezas comunicativas, memes, tuits o vídeos, boletines</v>
      </c>
      <c r="J37" s="24" t="str">
        <f>IFERROR(__xludf.DUMMYFUNCTION("""COMPUTED_VALUE"""),"Comunicaciones")</f>
        <v>Comunicaciones</v>
      </c>
      <c r="K37" s="25">
        <f>IFERROR(__xludf.DUMMYFUNCTION("""COMPUTED_VALUE"""),20.0)</f>
        <v>20</v>
      </c>
      <c r="L37" s="25">
        <f>IFERROR(__xludf.DUMMYFUNCTION("""COMPUTED_VALUE"""),20.0)</f>
        <v>20</v>
      </c>
      <c r="M37" s="26">
        <f>IFERROR(__xludf.DUMMYFUNCTION("""COMPUTED_VALUE"""),10.0)</f>
        <v>10</v>
      </c>
    </row>
    <row r="38" ht="52.5" customHeight="1">
      <c r="A38" s="16"/>
      <c r="B38" s="17" t="str">
        <f t="shared" si="1"/>
        <v>9</v>
      </c>
      <c r="C38" s="18" t="str">
        <f>IFERROR(__xludf.DUMMYFUNCTION("""COMPUTED_VALUE"""),"RENDICIÓN DE CUENTAS")</f>
        <v>RENDICIÓN DE CUENTAS</v>
      </c>
      <c r="D38" s="18" t="str">
        <f>IFERROR(__xludf.DUMMYFUNCTION("""COMPUTED_VALUE"""),"9")</f>
        <v>9</v>
      </c>
      <c r="E38" s="19" t="str">
        <f>IFERROR(__xludf.DUMMYFUNCTION("""COMPUTED_VALUE"""),"Información")</f>
        <v>Información</v>
      </c>
      <c r="F38" s="20" t="str">
        <f>IFERROR(__xludf.DUMMYFUNCTION("""COMPUTED_VALUE"""),"Realizar y/o participar de espacios de comunicacion, diálogo, eventos,  que faciliten la interlocución y el conocimiento de la entidad con los diferentes grupos de valor para fortalecer el posicionamiento institucional. ")</f>
        <v>Realizar y/o participar de espacios de comunicacion, diálogo, eventos,  que faciliten la interlocución y el conocimiento de la entidad con los diferentes grupos de valor para fortalecer el posicionamiento institucional. </v>
      </c>
      <c r="G38" s="21" t="str">
        <f>IFERROR(__xludf.DUMMYFUNCTION("""COMPUTED_VALUE"""),"Espacios de comunicación,  dialogo, eventos, realizados ")</f>
        <v>Espacios de comunicación,  dialogo, eventos, realizados </v>
      </c>
      <c r="H38" s="22">
        <f>IFERROR(__xludf.DUMMYFUNCTION("""COMPUTED_VALUE"""),10.0)</f>
        <v>10</v>
      </c>
      <c r="I38" s="23" t="str">
        <f>IFERROR(__xludf.DUMMYFUNCTION("""COMPUTED_VALUE"""),"Espacios de comunicacion y/o eventos (Puede ser Transmisión, fotografias, publicaciones, boletines o piezas graficas o convocatoria, etc)")</f>
        <v>Espacios de comunicacion y/o eventos (Puede ser Transmisión, fotografias, publicaciones, boletines o piezas graficas o convocatoria, etc)</v>
      </c>
      <c r="J38" s="24" t="str">
        <f>IFERROR(__xludf.DUMMYFUNCTION("""COMPUTED_VALUE"""),"Comunicaciones")</f>
        <v>Comunicaciones</v>
      </c>
      <c r="K38" s="25">
        <f>IFERROR(__xludf.DUMMYFUNCTION("""COMPUTED_VALUE"""),4.0)</f>
        <v>4</v>
      </c>
      <c r="L38" s="25">
        <f>IFERROR(__xludf.DUMMYFUNCTION("""COMPUTED_VALUE"""),4.0)</f>
        <v>4</v>
      </c>
      <c r="M38" s="26">
        <f>IFERROR(__xludf.DUMMYFUNCTION("""COMPUTED_VALUE"""),2.0)</f>
        <v>2</v>
      </c>
    </row>
    <row r="39" ht="52.5" customHeight="1">
      <c r="A39" s="16"/>
      <c r="B39" s="17" t="str">
        <f t="shared" si="1"/>
        <v>10</v>
      </c>
      <c r="C39" s="18" t="str">
        <f>IFERROR(__xludf.DUMMYFUNCTION("""COMPUTED_VALUE"""),"RENDICIÓN DE CUENTAS")</f>
        <v>RENDICIÓN DE CUENTAS</v>
      </c>
      <c r="D39" s="18" t="str">
        <f>IFERROR(__xludf.DUMMYFUNCTION("""COMPUTED_VALUE"""),"10")</f>
        <v>10</v>
      </c>
      <c r="E39" s="19" t="str">
        <f>IFERROR(__xludf.DUMMYFUNCTION("""COMPUTED_VALUE"""),"Diálogo")</f>
        <v>Diálogo</v>
      </c>
      <c r="F39" s="20" t="str">
        <f>IFERROR(__xludf.DUMMYFUNCTION("""COMPUTED_VALUE"""),"Convocar a la ciudadanía y demás grupos de interés a participar en el proceso de Audiencia Pública de Rendición de Cuentas - Rdc")</f>
        <v>Convocar a la ciudadanía y demás grupos de interés a participar en el proceso de Audiencia Pública de Rendición de Cuentas - Rdc</v>
      </c>
      <c r="G39" s="21" t="str">
        <f>IFERROR(__xludf.DUMMYFUNCTION("""COMPUTED_VALUE"""),"Convocatoria realizada a proceso de Rendición de Cuentas")</f>
        <v>Convocatoria realizada a proceso de Rendición de Cuentas</v>
      </c>
      <c r="H39" s="22">
        <f>IFERROR(__xludf.DUMMYFUNCTION("""COMPUTED_VALUE"""),1.0)</f>
        <v>1</v>
      </c>
      <c r="I39" s="23" t="str">
        <f>IFERROR(__xludf.DUMMYFUNCTION("""COMPUTED_VALUE"""),"Piezas comunicativas, memes, tuits o vídeos, invitaciones")</f>
        <v>Piezas comunicativas, memes, tuits o vídeos, invitaciones</v>
      </c>
      <c r="J39" s="24" t="str">
        <f>IFERROR(__xludf.DUMMYFUNCTION("""COMPUTED_VALUE"""),"Comunicaciones")</f>
        <v>Comunicaciones</v>
      </c>
      <c r="K39" s="25">
        <f>IFERROR(__xludf.DUMMYFUNCTION("""COMPUTED_VALUE"""),0.0)</f>
        <v>0</v>
      </c>
      <c r="L39" s="25">
        <f>IFERROR(__xludf.DUMMYFUNCTION("""COMPUTED_VALUE"""),0.0)</f>
        <v>0</v>
      </c>
      <c r="M39" s="26">
        <f>IFERROR(__xludf.DUMMYFUNCTION("""COMPUTED_VALUE"""),1.0)</f>
        <v>1</v>
      </c>
    </row>
    <row r="40" ht="52.5" customHeight="1">
      <c r="A40" s="16"/>
      <c r="B40" s="17" t="str">
        <f t="shared" si="1"/>
        <v>11</v>
      </c>
      <c r="C40" s="18" t="str">
        <f>IFERROR(__xludf.DUMMYFUNCTION("""COMPUTED_VALUE"""),"RENDICIÓN DE CUENTAS")</f>
        <v>RENDICIÓN DE CUENTAS</v>
      </c>
      <c r="D40" s="18" t="str">
        <f>IFERROR(__xludf.DUMMYFUNCTION("""COMPUTED_VALUE"""),"11")</f>
        <v>11</v>
      </c>
      <c r="E40" s="19" t="str">
        <f>IFERROR(__xludf.DUMMYFUNCTION("""COMPUTED_VALUE"""),"Diálogo")</f>
        <v>Diálogo</v>
      </c>
      <c r="F40" s="20" t="str">
        <f>IFERROR(__xludf.DUMMYFUNCTION("""COMPUTED_VALUE"""),"Realizar Audiencia Pública de Rendición de Cuentas - Rdc")</f>
        <v>Realizar Audiencia Pública de Rendición de Cuentas - Rdc</v>
      </c>
      <c r="G40" s="21" t="str">
        <f>IFERROR(__xludf.DUMMYFUNCTION("""COMPUTED_VALUE"""),"Audiencia Pública de Rendición de Cuentas realizada")</f>
        <v>Audiencia Pública de Rendición de Cuentas realizada</v>
      </c>
      <c r="H40" s="22">
        <f>IFERROR(__xludf.DUMMYFUNCTION("""COMPUTED_VALUE"""),1.0)</f>
        <v>1</v>
      </c>
      <c r="I40" s="23" t="str">
        <f>IFERROR(__xludf.DUMMYFUNCTION("""COMPUTED_VALUE"""),"Presentación, Fotos, Listados de Asistencia, Informe de memoria")</f>
        <v>Presentación, Fotos, Listados de Asistencia, Informe de memoria</v>
      </c>
      <c r="J40" s="24" t="str">
        <f>IFERROR(__xludf.DUMMYFUNCTION("""COMPUTED_VALUE"""),"Equipo de trabajo RDC")</f>
        <v>Equipo de trabajo RDC</v>
      </c>
      <c r="K40" s="25">
        <f>IFERROR(__xludf.DUMMYFUNCTION("""COMPUTED_VALUE"""),0.0)</f>
        <v>0</v>
      </c>
      <c r="L40" s="25">
        <f>IFERROR(__xludf.DUMMYFUNCTION("""COMPUTED_VALUE"""),0.0)</f>
        <v>0</v>
      </c>
      <c r="M40" s="26">
        <f>IFERROR(__xludf.DUMMYFUNCTION("""COMPUTED_VALUE"""),1.0)</f>
        <v>1</v>
      </c>
    </row>
    <row r="41" ht="52.5" customHeight="1">
      <c r="A41" s="16"/>
      <c r="B41" s="17" t="str">
        <f t="shared" si="1"/>
        <v>12</v>
      </c>
      <c r="C41" s="18" t="str">
        <f>IFERROR(__xludf.DUMMYFUNCTION("""COMPUTED_VALUE"""),"RENDICIÓN DE CUENTAS")</f>
        <v>RENDICIÓN DE CUENTAS</v>
      </c>
      <c r="D41" s="18" t="str">
        <f>IFERROR(__xludf.DUMMYFUNCTION("""COMPUTED_VALUE"""),"12")</f>
        <v>12</v>
      </c>
      <c r="E41" s="19" t="str">
        <f>IFERROR(__xludf.DUMMYFUNCTION("""COMPUTED_VALUE"""),"Diálogo")</f>
        <v>Diálogo</v>
      </c>
      <c r="F41" s="20" t="str">
        <f>IFERROR(__xludf.DUMMYFUNCTION("""COMPUTED_VALUE"""),"Realizar encuesta de percepción del proceso de Rendición de Cuentas - RdC")</f>
        <v>Realizar encuesta de percepción del proceso de Rendición de Cuentas - RdC</v>
      </c>
      <c r="G41" s="21" t="str">
        <f>IFERROR(__xludf.DUMMYFUNCTION("""COMPUTED_VALUE"""),"Encuesta de percepción realizada")</f>
        <v>Encuesta de percepción realizada</v>
      </c>
      <c r="H41" s="22">
        <f>IFERROR(__xludf.DUMMYFUNCTION("""COMPUTED_VALUE"""),1.0)</f>
        <v>1</v>
      </c>
      <c r="I41" s="23" t="str">
        <f>IFERROR(__xludf.DUMMYFUNCTION("""COMPUTED_VALUE"""),"Informe resultado encuesta")</f>
        <v>Informe resultado encuesta</v>
      </c>
      <c r="J41" s="24" t="str">
        <f>IFERROR(__xludf.DUMMYFUNCTION("""COMPUTED_VALUE"""),"Comunicaciones")</f>
        <v>Comunicaciones</v>
      </c>
      <c r="K41" s="25">
        <f>IFERROR(__xludf.DUMMYFUNCTION("""COMPUTED_VALUE"""),0.0)</f>
        <v>0</v>
      </c>
      <c r="L41" s="25">
        <f>IFERROR(__xludf.DUMMYFUNCTION("""COMPUTED_VALUE"""),0.0)</f>
        <v>0</v>
      </c>
      <c r="M41" s="26">
        <f>IFERROR(__xludf.DUMMYFUNCTION("""COMPUTED_VALUE"""),1.0)</f>
        <v>1</v>
      </c>
    </row>
    <row r="42" ht="52.5" customHeight="1">
      <c r="A42" s="16"/>
      <c r="B42" s="17" t="str">
        <f t="shared" si="1"/>
        <v>13</v>
      </c>
      <c r="C42" s="18" t="str">
        <f>IFERROR(__xludf.DUMMYFUNCTION("""COMPUTED_VALUE"""),"RENDICIÓN DE CUENTAS")</f>
        <v>RENDICIÓN DE CUENTAS</v>
      </c>
      <c r="D42" s="18" t="str">
        <f>IFERROR(__xludf.DUMMYFUNCTION("""COMPUTED_VALUE"""),"13")</f>
        <v>13</v>
      </c>
      <c r="E42" s="19" t="str">
        <f>IFERROR(__xludf.DUMMYFUNCTION("""COMPUTED_VALUE"""),"Responsabilidad")</f>
        <v>Responsabilidad</v>
      </c>
      <c r="F42" s="20" t="str">
        <f>IFERROR(__xludf.DUMMYFUNCTION("""COMPUTED_VALUE"""),"Retroalimentar la  Estrategia del proceso de Rendición de Cuentas - Rdc")</f>
        <v>Retroalimentar la  Estrategia del proceso de Rendición de Cuentas - Rdc</v>
      </c>
      <c r="G42" s="21" t="str">
        <f>IFERROR(__xludf.DUMMYFUNCTION("""COMPUTED_VALUE"""),"Documento de evaluación de la estrategia de Rendición de Cuentas - RdC elaborado")</f>
        <v>Documento de evaluación de la estrategia de Rendición de Cuentas - RdC elaborado</v>
      </c>
      <c r="H42" s="22">
        <f>IFERROR(__xludf.DUMMYFUNCTION("""COMPUTED_VALUE"""),1.0)</f>
        <v>1</v>
      </c>
      <c r="I42" s="23" t="str">
        <f>IFERROR(__xludf.DUMMYFUNCTION("""COMPUTED_VALUE"""),"Documento de memoria de la estrategia del proceso de RdC")</f>
        <v>Documento de memoria de la estrategia del proceso de RdC</v>
      </c>
      <c r="J42" s="24" t="str">
        <f>IFERROR(__xludf.DUMMYFUNCTION("""COMPUTED_VALUE"""),"Equipo de trabajo RDC")</f>
        <v>Equipo de trabajo RDC</v>
      </c>
      <c r="K42" s="25">
        <f>IFERROR(__xludf.DUMMYFUNCTION("""COMPUTED_VALUE"""),0.0)</f>
        <v>0</v>
      </c>
      <c r="L42" s="25">
        <f>IFERROR(__xludf.DUMMYFUNCTION("""COMPUTED_VALUE"""),0.0)</f>
        <v>0</v>
      </c>
      <c r="M42" s="26">
        <f>IFERROR(__xludf.DUMMYFUNCTION("""COMPUTED_VALUE"""),1.0)</f>
        <v>1</v>
      </c>
    </row>
    <row r="43" ht="52.5" customHeight="1">
      <c r="A43" s="16"/>
      <c r="B43" s="17" t="str">
        <f t="shared" si="1"/>
        <v>14</v>
      </c>
      <c r="C43" s="18" t="str">
        <f>IFERROR(__xludf.DUMMYFUNCTION("""COMPUTED_VALUE"""),"RENDICIÓN DE CUENTAS")</f>
        <v>RENDICIÓN DE CUENTAS</v>
      </c>
      <c r="D43" s="18" t="str">
        <f>IFERROR(__xludf.DUMMYFUNCTION("""COMPUTED_VALUE"""),"14")</f>
        <v>14</v>
      </c>
      <c r="E43" s="19" t="str">
        <f>IFERROR(__xludf.DUMMYFUNCTION("""COMPUTED_VALUE"""),"Responsabilidad")</f>
        <v>Responsabilidad</v>
      </c>
      <c r="F43" s="20" t="str">
        <f>IFERROR(__xludf.DUMMYFUNCTION("""COMPUTED_VALUE"""),"Elaborar y divulgar el documento de memoria de la estrategia del proceso de Rendición de Cuentas - RdC")</f>
        <v>Elaborar y divulgar el documento de memoria de la estrategia del proceso de Rendición de Cuentas - RdC</v>
      </c>
      <c r="G43" s="21" t="str">
        <f>IFERROR(__xludf.DUMMYFUNCTION("""COMPUTED_VALUE"""),"Documento de memoria de la estrategia del proceso de RdC publicado")</f>
        <v>Documento de memoria de la estrategia del proceso de RdC publicado</v>
      </c>
      <c r="H43" s="22">
        <f>IFERROR(__xludf.DUMMYFUNCTION("""COMPUTED_VALUE"""),1.0)</f>
        <v>1</v>
      </c>
      <c r="I43" s="23" t="str">
        <f>IFERROR(__xludf.DUMMYFUNCTION("""COMPUTED_VALUE"""),"Documento publicado página web")</f>
        <v>Documento publicado página web</v>
      </c>
      <c r="J43" s="24" t="str">
        <f>IFERROR(__xludf.DUMMYFUNCTION("""COMPUTED_VALUE"""),"Equipo de trabajo RDC")</f>
        <v>Equipo de trabajo RDC</v>
      </c>
      <c r="K43" s="25">
        <f>IFERROR(__xludf.DUMMYFUNCTION("""COMPUTED_VALUE"""),0.0)</f>
        <v>0</v>
      </c>
      <c r="L43" s="25">
        <f>IFERROR(__xludf.DUMMYFUNCTION("""COMPUTED_VALUE"""),0.0)</f>
        <v>0</v>
      </c>
      <c r="M43" s="26">
        <f>IFERROR(__xludf.DUMMYFUNCTION("""COMPUTED_VALUE"""),1.0)</f>
        <v>1</v>
      </c>
    </row>
    <row r="44" ht="52.5" customHeight="1">
      <c r="A44" s="16"/>
      <c r="B44" s="17" t="str">
        <f t="shared" si="1"/>
        <v>15</v>
      </c>
      <c r="C44" s="18" t="str">
        <f>IFERROR(__xludf.DUMMYFUNCTION("""COMPUTED_VALUE"""),"RENDICIÓN DE CUENTAS")</f>
        <v>RENDICIÓN DE CUENTAS</v>
      </c>
      <c r="D44" s="18" t="str">
        <f>IFERROR(__xludf.DUMMYFUNCTION("""COMPUTED_VALUE"""),"15")</f>
        <v>15</v>
      </c>
      <c r="E44" s="19" t="str">
        <f>IFERROR(__xludf.DUMMYFUNCTION("""COMPUTED_VALUE"""),"Responsabilidad")</f>
        <v>Responsabilidad</v>
      </c>
      <c r="F44" s="20" t="str">
        <f>IFERROR(__xludf.DUMMYFUNCTION("""COMPUTED_VALUE"""),"Reportar al equipo de trabajo de rendición de cuentas sobre los espacios de diálogo realizados desde las diferentes áreas de la entidad")</f>
        <v>Reportar al equipo de trabajo de rendición de cuentas sobre los espacios de diálogo realizados desde las diferentes áreas de la entidad</v>
      </c>
      <c r="G44" s="21" t="str">
        <f>IFERROR(__xludf.DUMMYFUNCTION("""COMPUTED_VALUE"""),"reporte de los espacios de diálogo realizados desde las diferentes áreas de la entidad")</f>
        <v>reporte de los espacios de diálogo realizados desde las diferentes áreas de la entidad</v>
      </c>
      <c r="H44" s="22">
        <f>IFERROR(__xludf.DUMMYFUNCTION("""COMPUTED_VALUE"""),10.0)</f>
        <v>10</v>
      </c>
      <c r="I44" s="23" t="str">
        <f>IFERROR(__xludf.DUMMYFUNCTION("""COMPUTED_VALUE"""),"Formato Interno reporte de actividades")</f>
        <v>Formato Interno reporte de actividades</v>
      </c>
      <c r="J44" s="24" t="str">
        <f>IFERROR(__xludf.DUMMYFUNCTION("""COMPUTED_VALUE"""),"Equipo de trabajo RDC")</f>
        <v>Equipo de trabajo RDC</v>
      </c>
      <c r="K44" s="25">
        <f>IFERROR(__xludf.DUMMYFUNCTION("""COMPUTED_VALUE"""),0.0)</f>
        <v>0</v>
      </c>
      <c r="L44" s="25">
        <f>IFERROR(__xludf.DUMMYFUNCTION("""COMPUTED_VALUE"""),0.0)</f>
        <v>0</v>
      </c>
      <c r="M44" s="26">
        <f>IFERROR(__xludf.DUMMYFUNCTION("""COMPUTED_VALUE"""),10.0)</f>
        <v>10</v>
      </c>
    </row>
    <row r="45" ht="52.5" customHeight="1">
      <c r="A45" s="16"/>
      <c r="B45" s="17" t="str">
        <f t="shared" si="1"/>
        <v>1</v>
      </c>
      <c r="C45" s="18" t="str">
        <f>IFERROR(__xludf.DUMMYFUNCTION("""COMPUTED_VALUE"""),"MECANISMOS PARA MEJORAR LA ATENCIÓN AL CIUDADANO")</f>
        <v>MECANISMOS PARA MEJORAR LA ATENCIÓN AL CIUDADANO</v>
      </c>
      <c r="D45" s="18" t="str">
        <f>IFERROR(__xludf.DUMMYFUNCTION("""COMPUTED_VALUE"""),"1")</f>
        <v>1</v>
      </c>
      <c r="E45" s="19" t="str">
        <f>IFERROR(__xludf.DUMMYFUNCTION("""COMPUTED_VALUE"""),"Direccionamiento estratégico y planeación")</f>
        <v>Direccionamiento estratégico y planeación</v>
      </c>
      <c r="F45" s="20" t="str">
        <f>IFERROR(__xludf.DUMMYFUNCTION("""COMPUTED_VALUE"""),"Coordinar la realización de  la caracterización de grupos de valor para la vigencia 2022")</f>
        <v>Coordinar la realización de  la caracterización de grupos de valor para la vigencia 2022</v>
      </c>
      <c r="G45" s="21" t="str">
        <f>IFERROR(__xludf.DUMMYFUNCTION("""COMPUTED_VALUE"""),"Caracterización de grupos de valor de la entidad")</f>
        <v>Caracterización de grupos de valor de la entidad</v>
      </c>
      <c r="H45" s="22">
        <f>IFERROR(__xludf.DUMMYFUNCTION("""COMPUTED_VALUE"""),1.0)</f>
        <v>1</v>
      </c>
      <c r="I45" s="23" t="str">
        <f>IFERROR(__xludf.DUMMYFUNCTION("""COMPUTED_VALUE"""),"Caracterización de grupos de valor de la entidad")</f>
        <v>Caracterización de grupos de valor de la entidad</v>
      </c>
      <c r="J45" s="24" t="str">
        <f>IFERROR(__xludf.DUMMYFUNCTION("""COMPUTED_VALUE"""),"Administrativa y Atención a la Ciudadanía")</f>
        <v>Administrativa y Atención a la Ciudadanía</v>
      </c>
      <c r="K45" s="25">
        <f>IFERROR(__xludf.DUMMYFUNCTION("""COMPUTED_VALUE"""),0.0)</f>
        <v>0</v>
      </c>
      <c r="L45" s="25">
        <f>IFERROR(__xludf.DUMMYFUNCTION("""COMPUTED_VALUE"""),0.0)</f>
        <v>0</v>
      </c>
      <c r="M45" s="26">
        <f>IFERROR(__xludf.DUMMYFUNCTION("""COMPUTED_VALUE"""),1.0)</f>
        <v>1</v>
      </c>
    </row>
    <row r="46" ht="52.5" customHeight="1">
      <c r="A46" s="16"/>
      <c r="B46" s="17" t="str">
        <f t="shared" si="1"/>
        <v>2</v>
      </c>
      <c r="C46" s="18" t="str">
        <f>IFERROR(__xludf.DUMMYFUNCTION("""COMPUTED_VALUE"""),"MECANISMOS PARA MEJORAR LA ATENCIÓN AL CIUDADANO")</f>
        <v>MECANISMOS PARA MEJORAR LA ATENCIÓN AL CIUDADANO</v>
      </c>
      <c r="D46" s="18" t="str">
        <f>IFERROR(__xludf.DUMMYFUNCTION("""COMPUTED_VALUE"""),"2")</f>
        <v>2</v>
      </c>
      <c r="E46" s="19" t="str">
        <f>IFERROR(__xludf.DUMMYFUNCTION("""COMPUTED_VALUE"""),"Fortalecimiento del talento humano al servicio del ciudadano")</f>
        <v>Fortalecimiento del talento humano al servicio del ciudadano</v>
      </c>
      <c r="F46" s="20" t="str">
        <f>IFERROR(__xludf.DUMMYFUNCTION("""COMPUTED_VALUE"""),"Divulgar a los usuarios el protocolo de servicio al ciudadano.")</f>
        <v>Divulgar a los usuarios el protocolo de servicio al ciudadano.</v>
      </c>
      <c r="G46" s="21" t="str">
        <f>IFERROR(__xludf.DUMMYFUNCTION("""COMPUTED_VALUE"""),"Protocolo divulgado")</f>
        <v>Protocolo divulgado</v>
      </c>
      <c r="H46" s="22">
        <f>IFERROR(__xludf.DUMMYFUNCTION("""COMPUTED_VALUE"""),3.0)</f>
        <v>3</v>
      </c>
      <c r="I46" s="23" t="str">
        <f>IFERROR(__xludf.DUMMYFUNCTION("""COMPUTED_VALUE"""),"Presentaciones Presenciales y/o Virtuales, actas de asistencia, fotos, etc.")</f>
        <v>Presentaciones Presenciales y/o Virtuales, actas de asistencia, fotos, etc.</v>
      </c>
      <c r="J46" s="24" t="str">
        <f>IFERROR(__xludf.DUMMYFUNCTION("""COMPUTED_VALUE"""),"Administrativa y Atención a la Ciudadanía")</f>
        <v>Administrativa y Atención a la Ciudadanía</v>
      </c>
      <c r="K46" s="25">
        <f>IFERROR(__xludf.DUMMYFUNCTION("""COMPUTED_VALUE"""),1.0)</f>
        <v>1</v>
      </c>
      <c r="L46" s="25">
        <f>IFERROR(__xludf.DUMMYFUNCTION("""COMPUTED_VALUE"""),1.0)</f>
        <v>1</v>
      </c>
      <c r="M46" s="26">
        <f>IFERROR(__xludf.DUMMYFUNCTION("""COMPUTED_VALUE"""),1.0)</f>
        <v>1</v>
      </c>
    </row>
    <row r="47" ht="52.5" customHeight="1">
      <c r="A47" s="16"/>
      <c r="B47" s="17" t="str">
        <f t="shared" si="1"/>
        <v>3</v>
      </c>
      <c r="C47" s="18" t="str">
        <f>IFERROR(__xludf.DUMMYFUNCTION("""COMPUTED_VALUE"""),"MECANISMOS PARA MEJORAR LA ATENCIÓN AL CIUDADANO")</f>
        <v>MECANISMOS PARA MEJORAR LA ATENCIÓN AL CIUDADANO</v>
      </c>
      <c r="D47" s="18" t="str">
        <f>IFERROR(__xludf.DUMMYFUNCTION("""COMPUTED_VALUE"""),"3")</f>
        <v>3</v>
      </c>
      <c r="E47" s="19" t="str">
        <f>IFERROR(__xludf.DUMMYFUNCTION("""COMPUTED_VALUE"""),"Fortalecimiento del talento humano al servicio del ciudadano")</f>
        <v>Fortalecimiento del talento humano al servicio del ciudadano</v>
      </c>
      <c r="F47" s="20" t="str">
        <f>IFERROR(__xludf.DUMMYFUNCTION("""COMPUTED_VALUE"""),"Incluir en el Plan Institucional de Capacitación temáticas relacionadas con el mejoramiento del servicio al ciudadano")</f>
        <v>Incluir en el Plan Institucional de Capacitación temáticas relacionadas con el mejoramiento del servicio al ciudadano</v>
      </c>
      <c r="G47" s="21" t="str">
        <f>IFERROR(__xludf.DUMMYFUNCTION("""COMPUTED_VALUE"""),"Plan Institucional de Capacitación formulado y aprobado")</f>
        <v>Plan Institucional de Capacitación formulado y aprobado</v>
      </c>
      <c r="H47" s="22">
        <f>IFERROR(__xludf.DUMMYFUNCTION("""COMPUTED_VALUE"""),1.0)</f>
        <v>1</v>
      </c>
      <c r="I47" s="23" t="str">
        <f>IFERROR(__xludf.DUMMYFUNCTION("""COMPUTED_VALUE"""),"Documento Aprobado y Publicado")</f>
        <v>Documento Aprobado y Publicado</v>
      </c>
      <c r="J47" s="24" t="str">
        <f>IFERROR(__xludf.DUMMYFUNCTION("""COMPUTED_VALUE"""),"Talento Humano")</f>
        <v>Talento Humano</v>
      </c>
      <c r="K47" s="25">
        <f>IFERROR(__xludf.DUMMYFUNCTION("""COMPUTED_VALUE"""),1.0)</f>
        <v>1</v>
      </c>
      <c r="L47" s="25">
        <f>IFERROR(__xludf.DUMMYFUNCTION("""COMPUTED_VALUE"""),0.0)</f>
        <v>0</v>
      </c>
      <c r="M47" s="26">
        <f>IFERROR(__xludf.DUMMYFUNCTION("""COMPUTED_VALUE"""),0.0)</f>
        <v>0</v>
      </c>
    </row>
    <row r="48" ht="52.5" customHeight="1">
      <c r="A48" s="16"/>
      <c r="B48" s="17" t="str">
        <f t="shared" si="1"/>
        <v>4</v>
      </c>
      <c r="C48" s="18" t="str">
        <f>IFERROR(__xludf.DUMMYFUNCTION("""COMPUTED_VALUE"""),"MECANISMOS PARA MEJORAR LA ATENCIÓN AL CIUDADANO")</f>
        <v>MECANISMOS PARA MEJORAR LA ATENCIÓN AL CIUDADANO</v>
      </c>
      <c r="D48" s="18" t="str">
        <f>IFERROR(__xludf.DUMMYFUNCTION("""COMPUTED_VALUE"""),"4")</f>
        <v>4</v>
      </c>
      <c r="E48" s="19" t="str">
        <f>IFERROR(__xludf.DUMMYFUNCTION("""COMPUTED_VALUE"""),"Gestión de relacionamiento con los ciudadanos")</f>
        <v>Gestión de relacionamiento con los ciudadanos</v>
      </c>
      <c r="F48" s="20" t="str">
        <f>IFERROR(__xludf.DUMMYFUNCTION("""COMPUTED_VALUE"""),"Actualizar la Estrategia de Atención y Servicio al Ciudadano y publicarla página WEB")</f>
        <v>Actualizar la Estrategia de Atención y Servicio al Ciudadano y publicarla página WEB</v>
      </c>
      <c r="G48" s="21" t="str">
        <f>IFERROR(__xludf.DUMMYFUNCTION("""COMPUTED_VALUE"""),"Estrategia de Atención y Servicio al Ciudadano elaborada y Publicada")</f>
        <v>Estrategia de Atención y Servicio al Ciudadano elaborada y Publicada</v>
      </c>
      <c r="H48" s="22">
        <f>IFERROR(__xludf.DUMMYFUNCTION("""COMPUTED_VALUE"""),1.0)</f>
        <v>1</v>
      </c>
      <c r="I48" s="23" t="str">
        <f>IFERROR(__xludf.DUMMYFUNCTION("""COMPUTED_VALUE"""),"Documento Estrategia de Atención y Servicio al Ciudadano publicada")</f>
        <v>Documento Estrategia de Atención y Servicio al Ciudadano publicada</v>
      </c>
      <c r="J48" s="24" t="str">
        <f>IFERROR(__xludf.DUMMYFUNCTION("""COMPUTED_VALUE"""),"Administrativa y Atención a la Ciudadanía")</f>
        <v>Administrativa y Atención a la Ciudadanía</v>
      </c>
      <c r="K48" s="25">
        <f>IFERROR(__xludf.DUMMYFUNCTION("""COMPUTED_VALUE"""),1.0)</f>
        <v>1</v>
      </c>
      <c r="L48" s="25">
        <f>IFERROR(__xludf.DUMMYFUNCTION("""COMPUTED_VALUE"""),0.0)</f>
        <v>0</v>
      </c>
      <c r="M48" s="26">
        <f>IFERROR(__xludf.DUMMYFUNCTION("""COMPUTED_VALUE"""),0.0)</f>
        <v>0</v>
      </c>
    </row>
    <row r="49" ht="52.5" customHeight="1">
      <c r="A49" s="16"/>
      <c r="B49" s="17" t="str">
        <f t="shared" si="1"/>
        <v>5</v>
      </c>
      <c r="C49" s="18" t="str">
        <f>IFERROR(__xludf.DUMMYFUNCTION("""COMPUTED_VALUE"""),"MECANISMOS PARA MEJORAR LA ATENCIÓN AL CIUDADANO")</f>
        <v>MECANISMOS PARA MEJORAR LA ATENCIÓN AL CIUDADANO</v>
      </c>
      <c r="D49" s="18" t="str">
        <f>IFERROR(__xludf.DUMMYFUNCTION("""COMPUTED_VALUE"""),"5")</f>
        <v>5</v>
      </c>
      <c r="E49" s="19" t="str">
        <f>IFERROR(__xludf.DUMMYFUNCTION("""COMPUTED_VALUE"""),"Gestión de relacionamiento con los ciudadanos")</f>
        <v>Gestión de relacionamiento con los ciudadanos</v>
      </c>
      <c r="F49" s="20" t="str">
        <f>IFERROR(__xludf.DUMMYFUNCTION("""COMPUTED_VALUE"""),"Elaborar informes cuatrimestrales donde se muestre la gestión de las pqrsd a nivel nacional")</f>
        <v>Elaborar informes cuatrimestrales donde se muestre la gestión de las pqrsd a nivel nacional</v>
      </c>
      <c r="G49" s="21" t="str">
        <f>IFERROR(__xludf.DUMMYFUNCTION("""COMPUTED_VALUE"""),"Informes de atención al ciudadano sobre las pqrsd")</f>
        <v>Informes de atención al ciudadano sobre las pqrsd</v>
      </c>
      <c r="H49" s="22">
        <f>IFERROR(__xludf.DUMMYFUNCTION("""COMPUTED_VALUE"""),3.0)</f>
        <v>3</v>
      </c>
      <c r="I49" s="23" t="str">
        <f>IFERROR(__xludf.DUMMYFUNCTION("""COMPUTED_VALUE"""),"informes tabulados")</f>
        <v>informes tabulados</v>
      </c>
      <c r="J49" s="24" t="str">
        <f>IFERROR(__xludf.DUMMYFUNCTION("""COMPUTED_VALUE"""),"Administrativa y Atención a la Ciudadanía")</f>
        <v>Administrativa y Atención a la Ciudadanía</v>
      </c>
      <c r="K49" s="25">
        <f>IFERROR(__xludf.DUMMYFUNCTION("""COMPUTED_VALUE"""),1.0)</f>
        <v>1</v>
      </c>
      <c r="L49" s="25">
        <f>IFERROR(__xludf.DUMMYFUNCTION("""COMPUTED_VALUE"""),1.0)</f>
        <v>1</v>
      </c>
      <c r="M49" s="26">
        <f>IFERROR(__xludf.DUMMYFUNCTION("""COMPUTED_VALUE"""),1.0)</f>
        <v>1</v>
      </c>
    </row>
    <row r="50" ht="52.5" customHeight="1">
      <c r="A50" s="16"/>
      <c r="B50" s="17" t="str">
        <f t="shared" si="1"/>
        <v>6</v>
      </c>
      <c r="C50" s="18" t="str">
        <f>IFERROR(__xludf.DUMMYFUNCTION("""COMPUTED_VALUE"""),"MECANISMOS PARA MEJORAR LA ATENCIÓN AL CIUDADANO")</f>
        <v>MECANISMOS PARA MEJORAR LA ATENCIÓN AL CIUDADANO</v>
      </c>
      <c r="D50" s="18" t="str">
        <f>IFERROR(__xludf.DUMMYFUNCTION("""COMPUTED_VALUE"""),"6")</f>
        <v>6</v>
      </c>
      <c r="E50" s="19" t="str">
        <f>IFERROR(__xludf.DUMMYFUNCTION("""COMPUTED_VALUE"""),"Gestión de relacionamiento con los ciudadanos")</f>
        <v>Gestión de relacionamiento con los ciudadanos</v>
      </c>
      <c r="F50" s="20" t="str">
        <f>IFERROR(__xludf.DUMMYFUNCTION("""COMPUTED_VALUE"""),"Actualizar  y divulgar la carta de trato digno ")</f>
        <v>Actualizar  y divulgar la carta de trato digno </v>
      </c>
      <c r="G50" s="21" t="str">
        <f>IFERROR(__xludf.DUMMYFUNCTION("""COMPUTED_VALUE"""),"Documento publicado del procedimiento del proceso de atención al ciudadano de la AUNAP")</f>
        <v>Documento publicado del procedimiento del proceso de atención al ciudadano de la AUNAP</v>
      </c>
      <c r="H50" s="22">
        <f>IFERROR(__xludf.DUMMYFUNCTION("""COMPUTED_VALUE"""),3.0)</f>
        <v>3</v>
      </c>
      <c r="I50" s="23" t="str">
        <f>IFERROR(__xludf.DUMMYFUNCTION("""COMPUTED_VALUE"""),"Procedimiento del proceso de atención al ciudadano de la AUNAP publicado")</f>
        <v>Procedimiento del proceso de atención al ciudadano de la AUNAP publicado</v>
      </c>
      <c r="J50" s="24" t="str">
        <f>IFERROR(__xludf.DUMMYFUNCTION("""COMPUTED_VALUE"""),"Administrativa y Atención a la Ciudadanía")</f>
        <v>Administrativa y Atención a la Ciudadanía</v>
      </c>
      <c r="K50" s="25">
        <f>IFERROR(__xludf.DUMMYFUNCTION("""COMPUTED_VALUE"""),1.0)</f>
        <v>1</v>
      </c>
      <c r="L50" s="25">
        <f>IFERROR(__xludf.DUMMYFUNCTION("""COMPUTED_VALUE"""),1.0)</f>
        <v>1</v>
      </c>
      <c r="M50" s="26">
        <f>IFERROR(__xludf.DUMMYFUNCTION("""COMPUTED_VALUE"""),1.0)</f>
        <v>1</v>
      </c>
    </row>
    <row r="51" ht="52.5" customHeight="1">
      <c r="A51" s="16"/>
      <c r="B51" s="17" t="str">
        <f t="shared" si="1"/>
        <v>7</v>
      </c>
      <c r="C51" s="18" t="str">
        <f>IFERROR(__xludf.DUMMYFUNCTION("""COMPUTED_VALUE"""),"MECANISMOS PARA MEJORAR LA ATENCIÓN AL CIUDADANO")</f>
        <v>MECANISMOS PARA MEJORAR LA ATENCIÓN AL CIUDADANO</v>
      </c>
      <c r="D51" s="18" t="str">
        <f>IFERROR(__xludf.DUMMYFUNCTION("""COMPUTED_VALUE"""),"7")</f>
        <v>7</v>
      </c>
      <c r="E51" s="19" t="str">
        <f>IFERROR(__xludf.DUMMYFUNCTION("""COMPUTED_VALUE"""),"Evaluación de gestión y medición de la percepción ciudadana​")</f>
        <v>Evaluación de gestión y medición de la percepción ciudadana​</v>
      </c>
      <c r="F51" s="20" t="str">
        <f>IFERROR(__xludf.DUMMYFUNCTION("""COMPUTED_VALUE"""),"Realizar mediciones de percepción de los ciudadanos respecto a la calidad y accesibilidad de la oferta institucional y el servicio recibido, ")</f>
        <v>Realizar mediciones de percepción de los ciudadanos respecto a la calidad y accesibilidad de la oferta institucional y el servicio recibido, </v>
      </c>
      <c r="G51" s="21" t="str">
        <f>IFERROR(__xludf.DUMMYFUNCTION("""COMPUTED_VALUE"""),"Medición de percepción realizada")</f>
        <v>Medición de percepción realizada</v>
      </c>
      <c r="H51" s="22">
        <f>IFERROR(__xludf.DUMMYFUNCTION("""COMPUTED_VALUE"""),3.0)</f>
        <v>3</v>
      </c>
      <c r="I51" s="23" t="str">
        <f>IFERROR(__xludf.DUMMYFUNCTION("""COMPUTED_VALUE"""),"Informe resultado de la medición")</f>
        <v>Informe resultado de la medición</v>
      </c>
      <c r="J51" s="24" t="str">
        <f>IFERROR(__xludf.DUMMYFUNCTION("""COMPUTED_VALUE"""),"Administrativa y Atención a la Ciudadanía")</f>
        <v>Administrativa y Atención a la Ciudadanía</v>
      </c>
      <c r="K51" s="25">
        <f>IFERROR(__xludf.DUMMYFUNCTION("""COMPUTED_VALUE"""),0.0)</f>
        <v>0</v>
      </c>
      <c r="L51" s="25">
        <f>IFERROR(__xludf.DUMMYFUNCTION("""COMPUTED_VALUE"""),1.0)</f>
        <v>1</v>
      </c>
      <c r="M51" s="26">
        <f>IFERROR(__xludf.DUMMYFUNCTION("""COMPUTED_VALUE"""),2.0)</f>
        <v>2</v>
      </c>
    </row>
    <row r="52" ht="52.5" customHeight="1">
      <c r="A52" s="16"/>
      <c r="B52" s="17" t="str">
        <f t="shared" si="1"/>
        <v>8</v>
      </c>
      <c r="C52" s="18" t="str">
        <f>IFERROR(__xludf.DUMMYFUNCTION("""COMPUTED_VALUE"""),"MECANISMOS PARA MEJORAR LA ATENCIÓN AL CIUDADANO")</f>
        <v>MECANISMOS PARA MEJORAR LA ATENCIÓN AL CIUDADANO</v>
      </c>
      <c r="D52" s="18" t="str">
        <f>IFERROR(__xludf.DUMMYFUNCTION("""COMPUTED_VALUE"""),"8")</f>
        <v>8</v>
      </c>
      <c r="E52" s="19" t="str">
        <f>IFERROR(__xludf.DUMMYFUNCTION("""COMPUTED_VALUE"""),"Evaluación de gestión y medición de la percepción ciudadana​")</f>
        <v>Evaluación de gestión y medición de la percepción ciudadana​</v>
      </c>
      <c r="F52" s="20" t="str">
        <f>IFERROR(__xludf.DUMMYFUNCTION("""COMPUTED_VALUE"""),"Elaboración del plan de participación ciudadana ")</f>
        <v>Elaboración del plan de participación ciudadana </v>
      </c>
      <c r="G52" s="21" t="str">
        <f>IFERROR(__xludf.DUMMYFUNCTION("""COMPUTED_VALUE""")," plan de participación ciudadana elaborado ")</f>
        <v> plan de participación ciudadana elaborado </v>
      </c>
      <c r="H52" s="22">
        <f>IFERROR(__xludf.DUMMYFUNCTION("""COMPUTED_VALUE"""),1.0)</f>
        <v>1</v>
      </c>
      <c r="I52" s="23" t="str">
        <f>IFERROR(__xludf.DUMMYFUNCTION("""COMPUTED_VALUE"""),"Plan de participación aprobado")</f>
        <v>Plan de participación aprobado</v>
      </c>
      <c r="J52" s="24" t="str">
        <f>IFERROR(__xludf.DUMMYFUNCTION("""COMPUTED_VALUE"""),"Administrativa y Atención a la Ciudadanía")</f>
        <v>Administrativa y Atención a la Ciudadanía</v>
      </c>
      <c r="K52" s="25">
        <f>IFERROR(__xludf.DUMMYFUNCTION("""COMPUTED_VALUE"""),1.0)</f>
        <v>1</v>
      </c>
      <c r="L52" s="25">
        <f>IFERROR(__xludf.DUMMYFUNCTION("""COMPUTED_VALUE"""),0.0)</f>
        <v>0</v>
      </c>
      <c r="M52" s="26">
        <f>IFERROR(__xludf.DUMMYFUNCTION("""COMPUTED_VALUE"""),0.0)</f>
        <v>0</v>
      </c>
    </row>
    <row r="53" ht="52.5" customHeight="1">
      <c r="A53" s="16"/>
      <c r="B53" s="17" t="str">
        <f t="shared" si="1"/>
        <v>1</v>
      </c>
      <c r="C53" s="18" t="str">
        <f>IFERROR(__xludf.DUMMYFUNCTION("""COMPUTED_VALUE"""),"MECANISMOS PARA LA TRANSPARENCIA Y ACCESO A LA INFORMACIÓN")</f>
        <v>MECANISMOS PARA LA TRANSPARENCIA Y ACCESO A LA INFORMACIÓN</v>
      </c>
      <c r="D53" s="18" t="str">
        <f>IFERROR(__xludf.DUMMYFUNCTION("""COMPUTED_VALUE"""),"1")</f>
        <v>1</v>
      </c>
      <c r="E53" s="19" t="str">
        <f>IFERROR(__xludf.DUMMYFUNCTION("""COMPUTED_VALUE"""),"Lineamientos de Transparencia Activa")</f>
        <v>Lineamientos de Transparencia Activa</v>
      </c>
      <c r="F53" s="20" t="str">
        <f>IFERROR(__xludf.DUMMYFUNCTION("""COMPUTED_VALUE"""),"Mantener actualizado el link de Transparencia con los lineamientos y documentos para la información a la ciudadanía")</f>
        <v>Mantener actualizado el link de Transparencia con los lineamientos y documentos para la información a la ciudadanía</v>
      </c>
      <c r="G53" s="21" t="str">
        <f>IFERROR(__xludf.DUMMYFUNCTION("""COMPUTED_VALUE"""),"Link de espacio de Transparencia")</f>
        <v>Link de espacio de Transparencia</v>
      </c>
      <c r="H53" s="22">
        <f>IFERROR(__xludf.DUMMYFUNCTION("""COMPUTED_VALUE"""),1.0)</f>
        <v>1</v>
      </c>
      <c r="I53" s="23" t="str">
        <f>IFERROR(__xludf.DUMMYFUNCTION("""COMPUTED_VALUE"""),"Link pagina web actualizado")</f>
        <v>Link pagina web actualizado</v>
      </c>
      <c r="J53" s="24" t="str">
        <f>IFERROR(__xludf.DUMMYFUNCTION("""COMPUTED_VALUE"""),"Oficina de Generación del Conocimiento y la Información")</f>
        <v>Oficina de Generación del Conocimiento y la Información</v>
      </c>
      <c r="K53" s="25">
        <f>IFERROR(__xludf.DUMMYFUNCTION("""COMPUTED_VALUE"""),0.0)</f>
        <v>0</v>
      </c>
      <c r="L53" s="25">
        <f>IFERROR(__xludf.DUMMYFUNCTION("""COMPUTED_VALUE"""),0.0)</f>
        <v>0</v>
      </c>
      <c r="M53" s="26">
        <f>IFERROR(__xludf.DUMMYFUNCTION("""COMPUTED_VALUE"""),1.0)</f>
        <v>1</v>
      </c>
    </row>
    <row r="54" ht="52.5" customHeight="1">
      <c r="A54" s="16"/>
      <c r="B54" s="17" t="str">
        <f t="shared" si="1"/>
        <v>2</v>
      </c>
      <c r="C54" s="18" t="str">
        <f>IFERROR(__xludf.DUMMYFUNCTION("""COMPUTED_VALUE"""),"MECANISMOS PARA LA TRANSPARENCIA Y ACCESO A LA INFORMACIÓN")</f>
        <v>MECANISMOS PARA LA TRANSPARENCIA Y ACCESO A LA INFORMACIÓN</v>
      </c>
      <c r="D54" s="18" t="str">
        <f>IFERROR(__xludf.DUMMYFUNCTION("""COMPUTED_VALUE"""),"2")</f>
        <v>2</v>
      </c>
      <c r="E54" s="19" t="str">
        <f>IFERROR(__xludf.DUMMYFUNCTION("""COMPUTED_VALUE"""),"Lineamientos de Transparencia Activa")</f>
        <v>Lineamientos de Transparencia Activa</v>
      </c>
      <c r="F54" s="20" t="str">
        <f>IFERROR(__xludf.DUMMYFUNCTION("""COMPUTED_VALUE"""),"Publicar el Plan Anual de Adquisiciones 2022 y sus actualizaciones por medio del portal web de la entidad y el Secop II")</f>
        <v>Publicar el Plan Anual de Adquisiciones 2022 y sus actualizaciones por medio del portal web de la entidad y el Secop II</v>
      </c>
      <c r="G54" s="21" t="str">
        <f>IFERROR(__xludf.DUMMYFUNCTION("""COMPUTED_VALUE"""),"Publicación del Plan Anual de Adquisiciones")</f>
        <v>Publicación del Plan Anual de Adquisiciones</v>
      </c>
      <c r="H54" s="22">
        <f>IFERROR(__xludf.DUMMYFUNCTION("""COMPUTED_VALUE"""),1.0)</f>
        <v>1</v>
      </c>
      <c r="I54" s="23" t="str">
        <f>IFERROR(__xludf.DUMMYFUNCTION("""COMPUTED_VALUE"""),"Plan de Acción Publicado")</f>
        <v>Plan de Acción Publicado</v>
      </c>
      <c r="J54" s="24" t="str">
        <f>IFERROR(__xludf.DUMMYFUNCTION("""COMPUTED_VALUE"""),"Planeación")</f>
        <v>Planeación</v>
      </c>
      <c r="K54" s="25">
        <f>IFERROR(__xludf.DUMMYFUNCTION("""COMPUTED_VALUE"""),1.0)</f>
        <v>1</v>
      </c>
      <c r="L54" s="25">
        <f>IFERROR(__xludf.DUMMYFUNCTION("""COMPUTED_VALUE"""),1.0)</f>
        <v>1</v>
      </c>
      <c r="M54" s="26">
        <f>IFERROR(__xludf.DUMMYFUNCTION("""COMPUTED_VALUE"""),1.0)</f>
        <v>1</v>
      </c>
    </row>
    <row r="55" ht="52.5" customHeight="1">
      <c r="A55" s="16"/>
      <c r="B55" s="17" t="str">
        <f t="shared" si="1"/>
        <v>3</v>
      </c>
      <c r="C55" s="18" t="str">
        <f>IFERROR(__xludf.DUMMYFUNCTION("""COMPUTED_VALUE"""),"MECANISMOS PARA LA TRANSPARENCIA Y ACCESO A LA INFORMACIÓN")</f>
        <v>MECANISMOS PARA LA TRANSPARENCIA Y ACCESO A LA INFORMACIÓN</v>
      </c>
      <c r="D55" s="18" t="str">
        <f>IFERROR(__xludf.DUMMYFUNCTION("""COMPUTED_VALUE"""),"3")</f>
        <v>3</v>
      </c>
      <c r="E55" s="19" t="str">
        <f>IFERROR(__xludf.DUMMYFUNCTION("""COMPUTED_VALUE"""),"Lineamientos de Transparencia Activa")</f>
        <v>Lineamientos de Transparencia Activa</v>
      </c>
      <c r="F55" s="20" t="str">
        <f>IFERROR(__xludf.DUMMYFUNCTION("""COMPUTED_VALUE"""),"Realizar publicación de la ejecución presupuestal de la entidad, por medio del botón de transparencia, seguido de presupuesto ubicado en el portal web")</f>
        <v>Realizar publicación de la ejecución presupuestal de la entidad, por medio del botón de transparencia, seguido de presupuesto ubicado en el portal web</v>
      </c>
      <c r="G55" s="21" t="str">
        <f>IFERROR(__xludf.DUMMYFUNCTION("""COMPUTED_VALUE"""),"Publicación de ejecución Presupuestal")</f>
        <v>Publicación de ejecución Presupuestal</v>
      </c>
      <c r="H55" s="22">
        <f>IFERROR(__xludf.DUMMYFUNCTION("""COMPUTED_VALUE"""),1.0)</f>
        <v>1</v>
      </c>
      <c r="I55" s="23" t="str">
        <f>IFERROR(__xludf.DUMMYFUNCTION("""COMPUTED_VALUE"""),"Ejecución presupuestal Publicada")</f>
        <v>Ejecución presupuestal Publicada</v>
      </c>
      <c r="J55" s="24" t="str">
        <f>IFERROR(__xludf.DUMMYFUNCTION("""COMPUTED_VALUE"""),"Financiera")</f>
        <v>Financiera</v>
      </c>
      <c r="K55" s="25">
        <f>IFERROR(__xludf.DUMMYFUNCTION("""COMPUTED_VALUE"""),1.0)</f>
        <v>1</v>
      </c>
      <c r="L55" s="25">
        <f>IFERROR(__xludf.DUMMYFUNCTION("""COMPUTED_VALUE"""),1.0)</f>
        <v>1</v>
      </c>
      <c r="M55" s="26">
        <f>IFERROR(__xludf.DUMMYFUNCTION("""COMPUTED_VALUE"""),1.0)</f>
        <v>1</v>
      </c>
    </row>
    <row r="56" ht="52.5" customHeight="1">
      <c r="A56" s="16"/>
      <c r="B56" s="17" t="str">
        <f t="shared" si="1"/>
        <v>4</v>
      </c>
      <c r="C56" s="18" t="str">
        <f>IFERROR(__xludf.DUMMYFUNCTION("""COMPUTED_VALUE"""),"MECANISMOS PARA LA TRANSPARENCIA Y ACCESO A LA INFORMACIÓN")</f>
        <v>MECANISMOS PARA LA TRANSPARENCIA Y ACCESO A LA INFORMACIÓN</v>
      </c>
      <c r="D56" s="18" t="str">
        <f>IFERROR(__xludf.DUMMYFUNCTION("""COMPUTED_VALUE"""),"4")</f>
        <v>4</v>
      </c>
      <c r="E56" s="19" t="str">
        <f>IFERROR(__xludf.DUMMYFUNCTION("""COMPUTED_VALUE"""),"Lineamientos de Transparencia Activa")</f>
        <v>Lineamientos de Transparencia Activa</v>
      </c>
      <c r="F56" s="20" t="str">
        <f>IFERROR(__xludf.DUMMYFUNCTION("""COMPUTED_VALUE"""),"Realizar diagnóstico de la implementación de la Estrategia de Gobierno Digital (antes Gobierno en Línea)")</f>
        <v>Realizar diagnóstico de la implementación de la Estrategia de Gobierno Digital (antes Gobierno en Línea)</v>
      </c>
      <c r="G56" s="21" t="str">
        <f>IFERROR(__xludf.DUMMYFUNCTION("""COMPUTED_VALUE"""),"Diagnóstico Estrategia Gobierno Digital realizado")</f>
        <v>Diagnóstico Estrategia Gobierno Digital realizado</v>
      </c>
      <c r="H56" s="22">
        <f>IFERROR(__xludf.DUMMYFUNCTION("""COMPUTED_VALUE"""),1.0)</f>
        <v>1</v>
      </c>
      <c r="I56" s="23" t="str">
        <f>IFERROR(__xludf.DUMMYFUNCTION("""COMPUTED_VALUE"""),"Documento con el Diagnóstico de Estrategia Digital Actualizado que será publicado en la  página web de la entidad.   
")</f>
        <v>Documento con el Diagnóstico de Estrategia Digital Actualizado que será publicado en la  página web de la entidad.   
</v>
      </c>
      <c r="J56" s="24" t="str">
        <f>IFERROR(__xludf.DUMMYFUNCTION("""COMPUTED_VALUE"""),"Oficina de Generación del Conocimiento y la Información")</f>
        <v>Oficina de Generación del Conocimiento y la Información</v>
      </c>
      <c r="K56" s="25">
        <f>IFERROR(__xludf.DUMMYFUNCTION("""COMPUTED_VALUE"""),0.0)</f>
        <v>0</v>
      </c>
      <c r="L56" s="25">
        <f>IFERROR(__xludf.DUMMYFUNCTION("""COMPUTED_VALUE"""),0.0)</f>
        <v>0</v>
      </c>
      <c r="M56" s="26">
        <f>IFERROR(__xludf.DUMMYFUNCTION("""COMPUTED_VALUE"""),1.0)</f>
        <v>1</v>
      </c>
    </row>
    <row r="57" ht="52.5" customHeight="1">
      <c r="A57" s="16"/>
      <c r="B57" s="17" t="str">
        <f t="shared" si="1"/>
        <v>5</v>
      </c>
      <c r="C57" s="18" t="str">
        <f>IFERROR(__xludf.DUMMYFUNCTION("""COMPUTED_VALUE"""),"MECANISMOS PARA LA TRANSPARENCIA Y ACCESO A LA INFORMACIÓN")</f>
        <v>MECANISMOS PARA LA TRANSPARENCIA Y ACCESO A LA INFORMACIÓN</v>
      </c>
      <c r="D57" s="18" t="str">
        <f>IFERROR(__xludf.DUMMYFUNCTION("""COMPUTED_VALUE"""),"5")</f>
        <v>5</v>
      </c>
      <c r="E57" s="19" t="str">
        <f>IFERROR(__xludf.DUMMYFUNCTION("""COMPUTED_VALUE"""),"Elaboración los Instrumentos de Gestión de la Información")</f>
        <v>Elaboración los Instrumentos de Gestión de la Información</v>
      </c>
      <c r="F57" s="20" t="str">
        <f>IFERROR(__xludf.DUMMYFUNCTION("""COMPUTED_VALUE"""),"Revisar, actualizar y publicar la estrategia de tecnologías de información institucional (TI) para incorporar la seguridad de la información, la ciberseguridad, la privacidad y los datos personales considerando la seguridad")</f>
        <v>Revisar, actualizar y publicar la estrategia de tecnologías de información institucional (TI) para incorporar la seguridad de la información, la ciberseguridad, la privacidad y los datos personales considerando la seguridad</v>
      </c>
      <c r="G57" s="21" t="str">
        <f>IFERROR(__xludf.DUMMYFUNCTION("""COMPUTED_VALUE"""),"Publicación de estrategia de tecnologías de información institucional (TI) ")</f>
        <v>Publicación de estrategia de tecnologías de información institucional (TI) </v>
      </c>
      <c r="H57" s="22">
        <f>IFERROR(__xludf.DUMMYFUNCTION("""COMPUTED_VALUE"""),1.0)</f>
        <v>1</v>
      </c>
      <c r="I57" s="23" t="str">
        <f>IFERROR(__xludf.DUMMYFUNCTION("""COMPUTED_VALUE"""),"Estrategia de tecnologías de información institucional (TI) publicada")</f>
        <v>Estrategia de tecnologías de información institucional (TI) publicada</v>
      </c>
      <c r="J57" s="24" t="str">
        <f>IFERROR(__xludf.DUMMYFUNCTION("""COMPUTED_VALUE"""),"Oficina de Generación del Conocimiento y la Información")</f>
        <v>Oficina de Generación del Conocimiento y la Información</v>
      </c>
      <c r="K57" s="25">
        <f>IFERROR(__xludf.DUMMYFUNCTION("""COMPUTED_VALUE"""),0.0)</f>
        <v>0</v>
      </c>
      <c r="L57" s="25">
        <f>IFERROR(__xludf.DUMMYFUNCTION("""COMPUTED_VALUE"""),0.0)</f>
        <v>0</v>
      </c>
      <c r="M57" s="26">
        <f>IFERROR(__xludf.DUMMYFUNCTION("""COMPUTED_VALUE"""),1.0)</f>
        <v>1</v>
      </c>
    </row>
    <row r="58" ht="52.5" customHeight="1">
      <c r="A58" s="16"/>
      <c r="B58" s="17" t="str">
        <f t="shared" si="1"/>
        <v>6</v>
      </c>
      <c r="C58" s="18" t="str">
        <f>IFERROR(__xludf.DUMMYFUNCTION("""COMPUTED_VALUE"""),"MECANISMOS PARA LA TRANSPARENCIA Y ACCESO A LA INFORMACIÓN")</f>
        <v>MECANISMOS PARA LA TRANSPARENCIA Y ACCESO A LA INFORMACIÓN</v>
      </c>
      <c r="D58" s="18" t="str">
        <f>IFERROR(__xludf.DUMMYFUNCTION("""COMPUTED_VALUE"""),"6")</f>
        <v>6</v>
      </c>
      <c r="E58" s="19" t="str">
        <f>IFERROR(__xludf.DUMMYFUNCTION("""COMPUTED_VALUE"""),"Monitoreo del Acceso a la Información Pública")</f>
        <v>Monitoreo del Acceso a la Información Pública</v>
      </c>
      <c r="F58" s="20" t="str">
        <f>IFERROR(__xludf.DUMMYFUNCTION("""COMPUTED_VALUE"""),"Elaborar informes bimestrales de las peticiones ingresadas, respondidas y temas más frecuentes y tiempos de respuesta. ")</f>
        <v>Elaborar informes bimestrales de las peticiones ingresadas, respondidas y temas más frecuentes y tiempos de respuesta. </v>
      </c>
      <c r="G58" s="21" t="str">
        <f>IFERROR(__xludf.DUMMYFUNCTION("""COMPUTED_VALUE"""),"Monitoreo a las peticiones respondidas oportunamente")</f>
        <v>Monitoreo a las peticiones respondidas oportunamente</v>
      </c>
      <c r="H58" s="22">
        <f>IFERROR(__xludf.DUMMYFUNCTION("""COMPUTED_VALUE"""),1.0)</f>
        <v>1</v>
      </c>
      <c r="I58" s="23" t="str">
        <f>IFERROR(__xludf.DUMMYFUNCTION("""COMPUTED_VALUE"""),"Informe sobre las peticiones respondidas oportunamente")</f>
        <v>Informe sobre las peticiones respondidas oportunamente</v>
      </c>
      <c r="J58" s="24" t="str">
        <f>IFERROR(__xludf.DUMMYFUNCTION("""COMPUTED_VALUE"""),"Administrativa y Atención a la Ciudadanía")</f>
        <v>Administrativa y Atención a la Ciudadanía</v>
      </c>
      <c r="K58" s="25">
        <f>IFERROR(__xludf.DUMMYFUNCTION("""COMPUTED_VALUE"""),1.0)</f>
        <v>1</v>
      </c>
      <c r="L58" s="25">
        <f>IFERROR(__xludf.DUMMYFUNCTION("""COMPUTED_VALUE"""),1.0)</f>
        <v>1</v>
      </c>
      <c r="M58" s="26">
        <f>IFERROR(__xludf.DUMMYFUNCTION("""COMPUTED_VALUE"""),1.0)</f>
        <v>1</v>
      </c>
    </row>
    <row r="59" ht="52.5" customHeight="1">
      <c r="A59" s="16"/>
      <c r="B59" s="17" t="str">
        <f t="shared" si="1"/>
        <v>1</v>
      </c>
      <c r="C59" s="18" t="str">
        <f>IFERROR(__xludf.DUMMYFUNCTION("""COMPUTED_VALUE"""),"INICIATIVAS ADICIONALES")</f>
        <v>INICIATIVAS ADICIONALES</v>
      </c>
      <c r="D59" s="18" t="str">
        <f>IFERROR(__xludf.DUMMYFUNCTION("""COMPUTED_VALUE"""),"1")</f>
        <v>1</v>
      </c>
      <c r="E59" s="19" t="str">
        <f>IFERROR(__xludf.DUMMYFUNCTION("""COMPUTED_VALUE"""),"Gestión de Integridad")</f>
        <v>Gestión de Integridad</v>
      </c>
      <c r="F59" s="20" t="str">
        <f>IFERROR(__xludf.DUMMYFUNCTION("""COMPUTED_VALUE"""),"Conformación del Equipo líder del proceso gestión de integridad")</f>
        <v>Conformación del Equipo líder del proceso gestión de integridad</v>
      </c>
      <c r="G59" s="21" t="str">
        <f>IFERROR(__xludf.DUMMYFUNCTION("""COMPUTED_VALUE"""),"Acta de conformación de equipo líder del proceso GI")</f>
        <v>Acta de conformación de equipo líder del proceso GI</v>
      </c>
      <c r="H59" s="22">
        <f>IFERROR(__xludf.DUMMYFUNCTION("""COMPUTED_VALUE"""),1.0)</f>
        <v>1</v>
      </c>
      <c r="I59" s="23" t="str">
        <f>IFERROR(__xludf.DUMMYFUNCTION("""COMPUTED_VALUE"""),"Acta Conformación del Comité")</f>
        <v>Acta Conformación del Comité</v>
      </c>
      <c r="J59" s="24" t="str">
        <f>IFERROR(__xludf.DUMMYFUNCTION("""COMPUTED_VALUE"""),"Talento Humano")</f>
        <v>Talento Humano</v>
      </c>
      <c r="K59" s="25">
        <f>IFERROR(__xludf.DUMMYFUNCTION("""COMPUTED_VALUE"""),1.0)</f>
        <v>1</v>
      </c>
      <c r="L59" s="25">
        <f>IFERROR(__xludf.DUMMYFUNCTION("""COMPUTED_VALUE"""),0.0)</f>
        <v>0</v>
      </c>
      <c r="M59" s="26">
        <f>IFERROR(__xludf.DUMMYFUNCTION("""COMPUTED_VALUE"""),0.0)</f>
        <v>0</v>
      </c>
    </row>
    <row r="60" ht="52.5" customHeight="1">
      <c r="A60" s="16"/>
      <c r="B60" s="17" t="str">
        <f t="shared" si="1"/>
        <v>2</v>
      </c>
      <c r="C60" s="18" t="str">
        <f>IFERROR(__xludf.DUMMYFUNCTION("""COMPUTED_VALUE"""),"INICIATIVAS ADICIONALES")</f>
        <v>INICIATIVAS ADICIONALES</v>
      </c>
      <c r="D60" s="18" t="str">
        <f>IFERROR(__xludf.DUMMYFUNCTION("""COMPUTED_VALUE"""),"2")</f>
        <v>2</v>
      </c>
      <c r="E60" s="19" t="str">
        <f>IFERROR(__xludf.DUMMYFUNCTION("""COMPUTED_VALUE"""),"Gestión de Integridad")</f>
        <v>Gestión de Integridad</v>
      </c>
      <c r="F60" s="20" t="str">
        <f>IFERROR(__xludf.DUMMYFUNCTION("""COMPUTED_VALUE"""),"Realizar jornadas de socializar y promoción de los valores del servicio Publico")</f>
        <v>Realizar jornadas de socializar y promoción de los valores del servicio Publico</v>
      </c>
      <c r="G60" s="21" t="str">
        <f>IFERROR(__xludf.DUMMYFUNCTION("""COMPUTED_VALUE"""),"Sensibilización en los valores del servicio Publico")</f>
        <v>Sensibilización en los valores del servicio Publico</v>
      </c>
      <c r="H60" s="22">
        <f>IFERROR(__xludf.DUMMYFUNCTION("""COMPUTED_VALUE"""),3.0)</f>
        <v>3</v>
      </c>
      <c r="I60" s="23" t="str">
        <f>IFERROR(__xludf.DUMMYFUNCTION("""COMPUTED_VALUE"""),"Presentaciones Presenciales y/o Virtuales, actas de asistencia, fotos, etc.")</f>
        <v>Presentaciones Presenciales y/o Virtuales, actas de asistencia, fotos, etc.</v>
      </c>
      <c r="J60" s="24" t="str">
        <f>IFERROR(__xludf.DUMMYFUNCTION("""COMPUTED_VALUE"""),"Talento Humano")</f>
        <v>Talento Humano</v>
      </c>
      <c r="K60" s="25">
        <f>IFERROR(__xludf.DUMMYFUNCTION("""COMPUTED_VALUE"""),1.0)</f>
        <v>1</v>
      </c>
      <c r="L60" s="25">
        <f>IFERROR(__xludf.DUMMYFUNCTION("""COMPUTED_VALUE"""),1.0)</f>
        <v>1</v>
      </c>
      <c r="M60" s="26">
        <f>IFERROR(__xludf.DUMMYFUNCTION("""COMPUTED_VALUE"""),1.0)</f>
        <v>1</v>
      </c>
    </row>
    <row r="61" ht="52.5" customHeight="1">
      <c r="A61" s="16"/>
      <c r="B61" s="17" t="str">
        <f t="shared" si="1"/>
        <v>3</v>
      </c>
      <c r="C61" s="18" t="str">
        <f>IFERROR(__xludf.DUMMYFUNCTION("""COMPUTED_VALUE"""),"INICIATIVAS ADICIONALES")</f>
        <v>INICIATIVAS ADICIONALES</v>
      </c>
      <c r="D61" s="18" t="str">
        <f>IFERROR(__xludf.DUMMYFUNCTION("""COMPUTED_VALUE"""),"3")</f>
        <v>3</v>
      </c>
      <c r="E61" s="19" t="str">
        <f>IFERROR(__xludf.DUMMYFUNCTION("""COMPUTED_VALUE"""),"Gestión de Integridad")</f>
        <v>Gestión de Integridad</v>
      </c>
      <c r="F61" s="20" t="str">
        <f>IFERROR(__xludf.DUMMYFUNCTION("""COMPUTED_VALUE"""),"Vincular a los servidores públicos, incluyendo contratistas al Curso Virtual de Integridad, Transparencia y Lucha contra la Corrupción")</f>
        <v>Vincular a los servidores públicos, incluyendo contratistas al Curso Virtual de Integridad, Transparencia y Lucha contra la Corrupción</v>
      </c>
      <c r="G61" s="21" t="str">
        <f>IFERROR(__xludf.DUMMYFUNCTION("""COMPUTED_VALUE"""),"Seguimiento al desarrollo del Curso Virtual de Integridad, Transparencia y Lucha contra la Corrupción​")</f>
        <v>Seguimiento al desarrollo del Curso Virtual de Integridad, Transparencia y Lucha contra la Corrupción​</v>
      </c>
      <c r="H61" s="22">
        <f>IFERROR(__xludf.DUMMYFUNCTION("""COMPUTED_VALUE"""),3.0)</f>
        <v>3</v>
      </c>
      <c r="I61" s="23" t="str">
        <f>IFERROR(__xludf.DUMMYFUNCTION("""COMPUTED_VALUE"""),"Matriz de monitoreo al desarrollo del Curso Virtual de Integridad, Transparencia y Lucha contra la Corrupción​")</f>
        <v>Matriz de monitoreo al desarrollo del Curso Virtual de Integridad, Transparencia y Lucha contra la Corrupción​</v>
      </c>
      <c r="J61" s="24" t="str">
        <f>IFERROR(__xludf.DUMMYFUNCTION("""COMPUTED_VALUE"""),"Talento Humano")</f>
        <v>Talento Humano</v>
      </c>
      <c r="K61" s="25">
        <f>IFERROR(__xludf.DUMMYFUNCTION("""COMPUTED_VALUE"""),1.0)</f>
        <v>1</v>
      </c>
      <c r="L61" s="25">
        <f>IFERROR(__xludf.DUMMYFUNCTION("""COMPUTED_VALUE"""),1.0)</f>
        <v>1</v>
      </c>
      <c r="M61" s="26">
        <f>IFERROR(__xludf.DUMMYFUNCTION("""COMPUTED_VALUE"""),1.0)</f>
        <v>1</v>
      </c>
    </row>
    <row r="62" ht="52.5" customHeight="1">
      <c r="A62" s="16"/>
      <c r="B62" s="17" t="str">
        <f t="shared" si="1"/>
        <v>4</v>
      </c>
      <c r="C62" s="18" t="str">
        <f>IFERROR(__xludf.DUMMYFUNCTION("""COMPUTED_VALUE"""),"INICIATIVAS ADICIONALES")</f>
        <v>INICIATIVAS ADICIONALES</v>
      </c>
      <c r="D62" s="18" t="str">
        <f>IFERROR(__xludf.DUMMYFUNCTION("""COMPUTED_VALUE"""),"4")</f>
        <v>4</v>
      </c>
      <c r="E62" s="19" t="str">
        <f>IFERROR(__xludf.DUMMYFUNCTION("""COMPUTED_VALUE"""),"Gestión de Integridad")</f>
        <v>Gestión de Integridad</v>
      </c>
      <c r="F62" s="20" t="str">
        <f>IFERROR(__xludf.DUMMYFUNCTION("""COMPUTED_VALUE"""),"Difundir y gestionar capacitaciones para fortalecer en lo servidores públicos los valores de Integridad y Transparencia")</f>
        <v>Difundir y gestionar capacitaciones para fortalecer en lo servidores públicos los valores de Integridad y Transparencia</v>
      </c>
      <c r="G62" s="21" t="str">
        <f>IFERROR(__xludf.DUMMYFUNCTION("""COMPUTED_VALUE"""),"Capacitación en la iniciativa conflicto de intereses")</f>
        <v>Capacitación en la iniciativa conflicto de intereses</v>
      </c>
      <c r="H62" s="22">
        <f>IFERROR(__xludf.DUMMYFUNCTION("""COMPUTED_VALUE"""),1.0)</f>
        <v>1</v>
      </c>
      <c r="I62" s="23" t="str">
        <f>IFERROR(__xludf.DUMMYFUNCTION("""COMPUTED_VALUE"""),"Presentaciones Presenciales y/o Virtuales, actas de asistencia, fotos, etc.")</f>
        <v>Presentaciones Presenciales y/o Virtuales, actas de asistencia, fotos, etc.</v>
      </c>
      <c r="J62" s="24" t="str">
        <f>IFERROR(__xludf.DUMMYFUNCTION("""COMPUTED_VALUE"""),"Talento Humano")</f>
        <v>Talento Humano</v>
      </c>
      <c r="K62" s="25">
        <f>IFERROR(__xludf.DUMMYFUNCTION("""COMPUTED_VALUE"""),0.0)</f>
        <v>0</v>
      </c>
      <c r="L62" s="25">
        <f>IFERROR(__xludf.DUMMYFUNCTION("""COMPUTED_VALUE"""),1.0)</f>
        <v>1</v>
      </c>
      <c r="M62" s="26">
        <f>IFERROR(__xludf.DUMMYFUNCTION("""COMPUTED_VALUE"""),0.0)</f>
        <v>0</v>
      </c>
    </row>
    <row r="63" ht="52.5" customHeight="1">
      <c r="A63" s="16"/>
      <c r="B63" s="17" t="str">
        <f t="shared" si="1"/>
        <v>5</v>
      </c>
      <c r="C63" s="18" t="str">
        <f>IFERROR(__xludf.DUMMYFUNCTION("""COMPUTED_VALUE"""),"INICIATIVAS ADICIONALES")</f>
        <v>INICIATIVAS ADICIONALES</v>
      </c>
      <c r="D63" s="18" t="str">
        <f>IFERROR(__xludf.DUMMYFUNCTION("""COMPUTED_VALUE"""),"5")</f>
        <v>5</v>
      </c>
      <c r="E63" s="19" t="str">
        <f>IFERROR(__xludf.DUMMYFUNCTION("""COMPUTED_VALUE"""),"Gestión de Integridad")</f>
        <v>Gestión de Integridad</v>
      </c>
      <c r="F63" s="20" t="str">
        <f>IFERROR(__xludf.DUMMYFUNCTION("""COMPUTED_VALUE"""),"Desarrollar campañas de sensibilización del código de integridad, siguiendo las guías de la caja de herramientas ofrecidas por Función Pública")</f>
        <v>Desarrollar campañas de sensibilización del código de integridad, siguiendo las guías de la caja de herramientas ofrecidas por Función Pública</v>
      </c>
      <c r="G63" s="21" t="str">
        <f>IFERROR(__xludf.DUMMYFUNCTION("""COMPUTED_VALUE"""),"Publicaciones realizadas")</f>
        <v>Publicaciones realizadas</v>
      </c>
      <c r="H63" s="22">
        <f>IFERROR(__xludf.DUMMYFUNCTION("""COMPUTED_VALUE"""),3.0)</f>
        <v>3</v>
      </c>
      <c r="I63" s="23" t="str">
        <f>IFERROR(__xludf.DUMMYFUNCTION("""COMPUTED_VALUE"""),"Piezas comunicativas, memes, tuits o vídeos, boletines")</f>
        <v>Piezas comunicativas, memes, tuits o vídeos, boletines</v>
      </c>
      <c r="J63" s="24" t="str">
        <f>IFERROR(__xludf.DUMMYFUNCTION("""COMPUTED_VALUE"""),"Comunicaciones")</f>
        <v>Comunicaciones</v>
      </c>
      <c r="K63" s="25">
        <f>IFERROR(__xludf.DUMMYFUNCTION("""COMPUTED_VALUE"""),1.0)</f>
        <v>1</v>
      </c>
      <c r="L63" s="25">
        <f>IFERROR(__xludf.DUMMYFUNCTION("""COMPUTED_VALUE"""),1.0)</f>
        <v>1</v>
      </c>
      <c r="M63" s="26">
        <f>IFERROR(__xludf.DUMMYFUNCTION("""COMPUTED_VALUE"""),1.0)</f>
        <v>1</v>
      </c>
    </row>
    <row r="64" ht="52.5" customHeight="1">
      <c r="A64" s="16"/>
      <c r="B64" s="17" t="str">
        <f t="shared" si="1"/>
        <v>6</v>
      </c>
      <c r="C64" s="18" t="str">
        <f>IFERROR(__xludf.DUMMYFUNCTION("""COMPUTED_VALUE"""),"INICIATIVAS ADICIONALES")</f>
        <v>INICIATIVAS ADICIONALES</v>
      </c>
      <c r="D64" s="18" t="str">
        <f>IFERROR(__xludf.DUMMYFUNCTION("""COMPUTED_VALUE"""),"6")</f>
        <v>6</v>
      </c>
      <c r="E64" s="19" t="str">
        <f>IFERROR(__xludf.DUMMYFUNCTION("""COMPUTED_VALUE"""),"Conflicto de Intereses")</f>
        <v>Conflicto de Intereses</v>
      </c>
      <c r="F64" s="20" t="str">
        <f>IFERROR(__xludf.DUMMYFUNCTION("""COMPUTED_VALUE"""),"Promover espacios de capacitación en temas relacionados sobre conflicto de intereses")</f>
        <v>Promover espacios de capacitación en temas relacionados sobre conflicto de intereses</v>
      </c>
      <c r="G64" s="21" t="str">
        <f>IFERROR(__xludf.DUMMYFUNCTION("""COMPUTED_VALUE"""),"Capacitación en la iniciativa conflicto de intereses")</f>
        <v>Capacitación en la iniciativa conflicto de intereses</v>
      </c>
      <c r="H64" s="22">
        <f>IFERROR(__xludf.DUMMYFUNCTION("""COMPUTED_VALUE"""),1.0)</f>
        <v>1</v>
      </c>
      <c r="I64" s="23" t="str">
        <f>IFERROR(__xludf.DUMMYFUNCTION("""COMPUTED_VALUE"""),"Presentaciones Presenciales y/o Virtuales, actas de asistencia, fotos, etc.")</f>
        <v>Presentaciones Presenciales y/o Virtuales, actas de asistencia, fotos, etc.</v>
      </c>
      <c r="J64" s="24" t="str">
        <f>IFERROR(__xludf.DUMMYFUNCTION("""COMPUTED_VALUE"""),"Control Interno Disciplinario")</f>
        <v>Control Interno Disciplinario</v>
      </c>
      <c r="K64" s="25">
        <f>IFERROR(__xludf.DUMMYFUNCTION("""COMPUTED_VALUE"""),0.0)</f>
        <v>0</v>
      </c>
      <c r="L64" s="25">
        <f>IFERROR(__xludf.DUMMYFUNCTION("""COMPUTED_VALUE"""),1.0)</f>
        <v>1</v>
      </c>
      <c r="M64" s="26">
        <f>IFERROR(__xludf.DUMMYFUNCTION("""COMPUTED_VALUE"""),0.0)</f>
        <v>0</v>
      </c>
    </row>
    <row r="65" ht="52.5" customHeight="1">
      <c r="A65" s="16"/>
      <c r="B65" s="17" t="str">
        <f t="shared" si="1"/>
        <v>7</v>
      </c>
      <c r="C65" s="18" t="str">
        <f>IFERROR(__xludf.DUMMYFUNCTION("""COMPUTED_VALUE"""),"INICIATIVAS ADICIONALES")</f>
        <v>INICIATIVAS ADICIONALES</v>
      </c>
      <c r="D65" s="18" t="str">
        <f>IFERROR(__xludf.DUMMYFUNCTION("""COMPUTED_VALUE"""),"7")</f>
        <v>7</v>
      </c>
      <c r="E65" s="19" t="str">
        <f>IFERROR(__xludf.DUMMYFUNCTION("""COMPUTED_VALUE"""),"Conflicto de Intereses")</f>
        <v>Conflicto de Intereses</v>
      </c>
      <c r="F65" s="20" t="str">
        <f>IFERROR(__xludf.DUMMYFUNCTION("""COMPUTED_VALUE"""),"Elaborar la estrategia para la gestión de conflicto de intereses")</f>
        <v>Elaborar la estrategia para la gestión de conflicto de intereses</v>
      </c>
      <c r="G65" s="21" t="str">
        <f>IFERROR(__xludf.DUMMYFUNCTION("""COMPUTED_VALUE"""),"Estrategia de para la gestión de conflicto de intereses")</f>
        <v>Estrategia de para la gestión de conflicto de intereses</v>
      </c>
      <c r="H65" s="22">
        <f>IFERROR(__xludf.DUMMYFUNCTION("""COMPUTED_VALUE"""),1.0)</f>
        <v>1</v>
      </c>
      <c r="I65" s="23" t="str">
        <f>IFERROR(__xludf.DUMMYFUNCTION("""COMPUTED_VALUE"""),"Documento con la Estrategia para la gestión de conflicto de intereses")</f>
        <v>Documento con la Estrategia para la gestión de conflicto de intereses</v>
      </c>
      <c r="J65" s="24" t="str">
        <f>IFERROR(__xludf.DUMMYFUNCTION("""COMPUTED_VALUE"""),"Control Interno Disciplinario")</f>
        <v>Control Interno Disciplinario</v>
      </c>
      <c r="K65" s="25">
        <f>IFERROR(__xludf.DUMMYFUNCTION("""COMPUTED_VALUE"""),0.0)</f>
        <v>0</v>
      </c>
      <c r="L65" s="25">
        <f>IFERROR(__xludf.DUMMYFUNCTION("""COMPUTED_VALUE"""),0.0)</f>
        <v>0</v>
      </c>
      <c r="M65" s="26">
        <f>IFERROR(__xludf.DUMMYFUNCTION("""COMPUTED_VALUE"""),1.0)</f>
        <v>1</v>
      </c>
    </row>
    <row r="66" ht="52.5" customHeight="1">
      <c r="A66" s="16"/>
      <c r="B66" s="17" t="str">
        <f t="shared" si="1"/>
        <v>8</v>
      </c>
      <c r="C66" s="18" t="str">
        <f>IFERROR(__xludf.DUMMYFUNCTION("""COMPUTED_VALUE"""),"INICIATIVAS ADICIONALES")</f>
        <v>INICIATIVAS ADICIONALES</v>
      </c>
      <c r="D66" s="18" t="str">
        <f>IFERROR(__xludf.DUMMYFUNCTION("""COMPUTED_VALUE"""),"8")</f>
        <v>8</v>
      </c>
      <c r="E66" s="19" t="str">
        <f>IFERROR(__xludf.DUMMYFUNCTION("""COMPUTED_VALUE"""),"Conflicto de Intereses")</f>
        <v>Conflicto de Intereses</v>
      </c>
      <c r="F66" s="20" t="str">
        <f>IFERROR(__xludf.DUMMYFUNCTION("""COMPUTED_VALUE"""),"Realizar seguimiento a la publicación de la declaración de bienes, rentas y conflictos de intereses de los servidores públicos, incluyendo contratistas")</f>
        <v>Realizar seguimiento a la publicación de la declaración de bienes, rentas y conflictos de intereses de los servidores públicos, incluyendo contratistas</v>
      </c>
      <c r="G66" s="21" t="str">
        <f>IFERROR(__xludf.DUMMYFUNCTION("""COMPUTED_VALUE"""),"Seguimiento a publicación de la declaración de bienes, rentas y conflictos de intereses de los servidores públicos, incluyendo contratistas")</f>
        <v>Seguimiento a publicación de la declaración de bienes, rentas y conflictos de intereses de los servidores públicos, incluyendo contratistas</v>
      </c>
      <c r="H66" s="22">
        <f>IFERROR(__xludf.DUMMYFUNCTION("""COMPUTED_VALUE"""),1.0)</f>
        <v>1</v>
      </c>
      <c r="I66" s="23" t="str">
        <f>IFERROR(__xludf.DUMMYFUNCTION("""COMPUTED_VALUE"""),"Matriz con la relación sobre la publicación de las declaración de bienes, rentas y conflictos de intereses de los servidores públicos, incluyendo contratistas")</f>
        <v>Matriz con la relación sobre la publicación de las declaración de bienes, rentas y conflictos de intereses de los servidores públicos, incluyendo contratistas</v>
      </c>
      <c r="J66" s="24" t="str">
        <f>IFERROR(__xludf.DUMMYFUNCTION("""COMPUTED_VALUE"""),"Talento Humano - Gestión Contractual")</f>
        <v>Talento Humano - Gestión Contractual</v>
      </c>
      <c r="K66" s="25">
        <f>IFERROR(__xludf.DUMMYFUNCTION("""COMPUTED_VALUE"""),0.0)</f>
        <v>0</v>
      </c>
      <c r="L66" s="25">
        <f>IFERROR(__xludf.DUMMYFUNCTION("""COMPUTED_VALUE"""),0.0)</f>
        <v>0</v>
      </c>
      <c r="M66" s="26">
        <f>IFERROR(__xludf.DUMMYFUNCTION("""COMPUTED_VALUE"""),1.0)</f>
        <v>1</v>
      </c>
    </row>
    <row r="67" ht="15.75" customHeight="1"/>
  </sheetData>
  <autoFilter ref="$A$8:$N$15"/>
  <customSheetViews>
    <customSheetView guid="{3E260C3F-5F48-47E8-9319-1A3916EEB783}" filter="1" showAutoFilter="1">
      <autoFilter ref="$E$8:$M$66"/>
    </customSheetView>
  </customSheetViews>
  <mergeCells count="2">
    <mergeCell ref="B2:M6"/>
    <mergeCell ref="B7:M7"/>
  </mergeCell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min="4" max="4" width="32.29"/>
    <col customWidth="1" min="5" max="5" width="23.57"/>
    <col customWidth="1" min="6" max="6" width="8.86"/>
    <col customWidth="1" min="7" max="7" width="21.57"/>
    <col customWidth="1" min="8" max="11" width="18.0"/>
    <col customWidth="1" min="12" max="12" width="3.14"/>
  </cols>
  <sheetData>
    <row r="1" ht="12.75" customHeight="1">
      <c r="A1" s="1"/>
      <c r="B1" s="2"/>
      <c r="C1" s="2"/>
      <c r="D1" s="2"/>
      <c r="E1" s="2"/>
      <c r="F1" s="2"/>
      <c r="G1" s="2"/>
      <c r="H1" s="2"/>
      <c r="I1" s="2"/>
      <c r="J1" s="2"/>
      <c r="K1" s="2"/>
    </row>
    <row r="2">
      <c r="A2" s="1"/>
      <c r="B2" s="3" t="s">
        <v>13</v>
      </c>
      <c r="C2" s="4"/>
      <c r="D2" s="4"/>
      <c r="E2" s="4"/>
      <c r="F2" s="4"/>
      <c r="G2" s="4"/>
      <c r="H2" s="4"/>
      <c r="I2" s="4"/>
      <c r="J2" s="4"/>
      <c r="K2" s="5"/>
    </row>
    <row r="3" ht="23.25" customHeight="1">
      <c r="A3" s="1"/>
      <c r="B3" s="6"/>
      <c r="K3" s="7"/>
    </row>
    <row r="4" ht="20.25" customHeight="1">
      <c r="A4" s="1"/>
      <c r="B4" s="6"/>
      <c r="K4" s="7"/>
    </row>
    <row r="5">
      <c r="A5" s="1"/>
      <c r="B5" s="6"/>
      <c r="K5" s="7"/>
    </row>
    <row r="6" ht="13.5" customHeight="1">
      <c r="A6" s="1"/>
      <c r="B6" s="8"/>
      <c r="C6" s="9"/>
      <c r="D6" s="9"/>
      <c r="E6" s="9"/>
      <c r="F6" s="9"/>
      <c r="G6" s="9"/>
      <c r="H6" s="9"/>
      <c r="I6" s="9"/>
      <c r="J6" s="9"/>
      <c r="K6" s="10"/>
    </row>
    <row r="7" ht="30.0" customHeight="1">
      <c r="A7" s="1"/>
      <c r="B7" s="11" t="s">
        <v>1</v>
      </c>
      <c r="C7" s="4"/>
      <c r="D7" s="4"/>
      <c r="E7" s="4"/>
      <c r="F7" s="4"/>
      <c r="G7" s="4"/>
      <c r="H7" s="4"/>
      <c r="I7" s="4"/>
      <c r="J7" s="4"/>
      <c r="K7" s="4"/>
    </row>
    <row r="8" ht="30.0" customHeight="1">
      <c r="A8" s="1"/>
      <c r="B8" s="12" t="s">
        <v>2</v>
      </c>
      <c r="C8" s="14" t="s">
        <v>4</v>
      </c>
      <c r="D8" s="13" t="s">
        <v>5</v>
      </c>
      <c r="E8" s="14" t="s">
        <v>6</v>
      </c>
      <c r="F8" s="14" t="s">
        <v>7</v>
      </c>
      <c r="G8" s="13" t="s">
        <v>8</v>
      </c>
      <c r="H8" s="14" t="s">
        <v>9</v>
      </c>
      <c r="I8" s="14" t="s">
        <v>10</v>
      </c>
      <c r="J8" s="14" t="s">
        <v>11</v>
      </c>
      <c r="K8" s="15" t="s">
        <v>12</v>
      </c>
    </row>
    <row r="9" ht="52.5" customHeight="1">
      <c r="A9" s="27" t="str">
        <f t="shared" ref="A9:A15" si="1">$B$7</f>
        <v>GESTIÓN DEL RIESGO DE CORRUPCIÓN - MAPA DE RIESGOS CORRUPCIÓN</v>
      </c>
      <c r="B9" s="28" t="s">
        <v>14</v>
      </c>
      <c r="C9" s="19" t="s">
        <v>15</v>
      </c>
      <c r="D9" s="20" t="s">
        <v>16</v>
      </c>
      <c r="E9" s="21" t="s">
        <v>17</v>
      </c>
      <c r="F9" s="22">
        <v>2.0</v>
      </c>
      <c r="G9" s="23" t="s">
        <v>18</v>
      </c>
      <c r="H9" s="24" t="s">
        <v>19</v>
      </c>
      <c r="I9" s="25">
        <v>0.0</v>
      </c>
      <c r="J9" s="25">
        <v>1.0</v>
      </c>
      <c r="K9" s="26">
        <v>1.0</v>
      </c>
    </row>
    <row r="10" ht="52.5" customHeight="1">
      <c r="A10" s="27" t="str">
        <f t="shared" si="1"/>
        <v>GESTIÓN DEL RIESGO DE CORRUPCIÓN - MAPA DE RIESGOS CORRUPCIÓN</v>
      </c>
      <c r="B10" s="28" t="s">
        <v>20</v>
      </c>
      <c r="C10" s="19" t="s">
        <v>21</v>
      </c>
      <c r="D10" s="20" t="s">
        <v>22</v>
      </c>
      <c r="E10" s="21" t="s">
        <v>23</v>
      </c>
      <c r="F10" s="29">
        <v>1.0</v>
      </c>
      <c r="G10" s="20" t="s">
        <v>24</v>
      </c>
      <c r="H10" s="24" t="s">
        <v>25</v>
      </c>
      <c r="I10" s="30">
        <v>1.0</v>
      </c>
      <c r="J10" s="25">
        <v>0.0</v>
      </c>
      <c r="K10" s="26">
        <v>0.0</v>
      </c>
    </row>
    <row r="11" ht="52.5" customHeight="1">
      <c r="A11" s="27" t="str">
        <f t="shared" si="1"/>
        <v>GESTIÓN DEL RIESGO DE CORRUPCIÓN - MAPA DE RIESGOS CORRUPCIÓN</v>
      </c>
      <c r="B11" s="28" t="s">
        <v>26</v>
      </c>
      <c r="C11" s="19" t="s">
        <v>21</v>
      </c>
      <c r="D11" s="20" t="s">
        <v>27</v>
      </c>
      <c r="E11" s="24" t="s">
        <v>28</v>
      </c>
      <c r="F11" s="29">
        <v>1.0</v>
      </c>
      <c r="G11" s="20" t="s">
        <v>29</v>
      </c>
      <c r="H11" s="24" t="s">
        <v>25</v>
      </c>
      <c r="I11" s="30">
        <v>1.0</v>
      </c>
      <c r="J11" s="25">
        <v>0.0</v>
      </c>
      <c r="K11" s="26">
        <v>0.0</v>
      </c>
    </row>
    <row r="12" ht="52.5" customHeight="1">
      <c r="A12" s="27" t="str">
        <f t="shared" si="1"/>
        <v>GESTIÓN DEL RIESGO DE CORRUPCIÓN - MAPA DE RIESGOS CORRUPCIÓN</v>
      </c>
      <c r="B12" s="28" t="s">
        <v>30</v>
      </c>
      <c r="C12" s="19" t="s">
        <v>21</v>
      </c>
      <c r="D12" s="20" t="s">
        <v>31</v>
      </c>
      <c r="E12" s="24" t="s">
        <v>32</v>
      </c>
      <c r="F12" s="22">
        <v>6.0</v>
      </c>
      <c r="G12" s="20" t="s">
        <v>33</v>
      </c>
      <c r="H12" s="24" t="s">
        <v>25</v>
      </c>
      <c r="I12" s="25">
        <v>2.0</v>
      </c>
      <c r="J12" s="25">
        <v>2.0</v>
      </c>
      <c r="K12" s="31">
        <v>2.0</v>
      </c>
    </row>
    <row r="13" ht="52.5" customHeight="1">
      <c r="A13" s="27" t="str">
        <f t="shared" si="1"/>
        <v>GESTIÓN DEL RIESGO DE CORRUPCIÓN - MAPA DE RIESGOS CORRUPCIÓN</v>
      </c>
      <c r="B13" s="28" t="s">
        <v>34</v>
      </c>
      <c r="C13" s="19" t="s">
        <v>35</v>
      </c>
      <c r="D13" s="20" t="s">
        <v>36</v>
      </c>
      <c r="E13" s="24" t="s">
        <v>37</v>
      </c>
      <c r="F13" s="29">
        <v>3.0</v>
      </c>
      <c r="G13" s="23" t="s">
        <v>38</v>
      </c>
      <c r="H13" s="24" t="s">
        <v>19</v>
      </c>
      <c r="I13" s="30">
        <v>1.0</v>
      </c>
      <c r="J13" s="30">
        <v>1.0</v>
      </c>
      <c r="K13" s="31">
        <v>1.0</v>
      </c>
    </row>
    <row r="14" ht="52.5" customHeight="1">
      <c r="A14" s="27" t="str">
        <f t="shared" si="1"/>
        <v>GESTIÓN DEL RIESGO DE CORRUPCIÓN - MAPA DE RIESGOS CORRUPCIÓN</v>
      </c>
      <c r="B14" s="28" t="s">
        <v>39</v>
      </c>
      <c r="C14" s="19" t="s">
        <v>35</v>
      </c>
      <c r="D14" s="20" t="s">
        <v>40</v>
      </c>
      <c r="E14" s="24" t="s">
        <v>41</v>
      </c>
      <c r="F14" s="29">
        <v>3.0</v>
      </c>
      <c r="G14" s="20" t="s">
        <v>42</v>
      </c>
      <c r="H14" s="24" t="s">
        <v>25</v>
      </c>
      <c r="I14" s="30">
        <v>1.0</v>
      </c>
      <c r="J14" s="30">
        <v>1.0</v>
      </c>
      <c r="K14" s="31">
        <v>1.0</v>
      </c>
    </row>
    <row r="15" ht="52.5" customHeight="1">
      <c r="A15" s="27" t="str">
        <f t="shared" si="1"/>
        <v>GESTIÓN DEL RIESGO DE CORRUPCIÓN - MAPA DE RIESGOS CORRUPCIÓN</v>
      </c>
      <c r="B15" s="28" t="s">
        <v>43</v>
      </c>
      <c r="C15" s="19" t="s">
        <v>44</v>
      </c>
      <c r="D15" s="23" t="s">
        <v>45</v>
      </c>
      <c r="E15" s="21" t="s">
        <v>46</v>
      </c>
      <c r="F15" s="29">
        <v>3.0</v>
      </c>
      <c r="G15" s="23" t="s">
        <v>47</v>
      </c>
      <c r="H15" s="24" t="s">
        <v>48</v>
      </c>
      <c r="I15" s="30">
        <v>1.0</v>
      </c>
      <c r="J15" s="30">
        <v>1.0</v>
      </c>
      <c r="K15" s="31">
        <v>1.0</v>
      </c>
    </row>
    <row r="16" ht="15.75" customHeight="1"/>
  </sheetData>
  <autoFilter ref="$A$8:$L$15"/>
  <customSheetViews>
    <customSheetView guid="{3E260C3F-5F48-47E8-9319-1A3916EEB783}" filter="1" showAutoFilter="1">
      <autoFilter ref="$C$8:$K$14"/>
    </customSheetView>
  </customSheetViews>
  <mergeCells count="2">
    <mergeCell ref="B2:K6"/>
    <mergeCell ref="B7:K7"/>
  </mergeCells>
  <printOptions gridLines="1" horizontalCentered="1"/>
  <pageMargins bottom="0.75" footer="0.0" header="0.0" left="0.7" right="0.7" top="0.75"/>
  <pageSetup fitToHeight="0"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min="4" max="4" width="32.29"/>
    <col customWidth="1" min="5" max="5" width="23.57"/>
    <col customWidth="1" min="6" max="6" width="8.86"/>
    <col customWidth="1" min="7" max="7" width="21.57"/>
    <col customWidth="1" min="8" max="11" width="18.0"/>
    <col customWidth="1" min="12" max="12" width="3.14"/>
  </cols>
  <sheetData>
    <row r="1" ht="12.75" customHeight="1">
      <c r="A1" s="1"/>
      <c r="B1" s="2"/>
      <c r="C1" s="2"/>
      <c r="D1" s="2"/>
      <c r="E1" s="2"/>
      <c r="F1" s="2"/>
      <c r="G1" s="2"/>
      <c r="H1" s="2"/>
      <c r="I1" s="2"/>
      <c r="J1" s="2"/>
      <c r="K1" s="2"/>
    </row>
    <row r="2">
      <c r="A2" s="1"/>
      <c r="B2" s="3" t="s">
        <v>49</v>
      </c>
      <c r="C2" s="4"/>
      <c r="D2" s="4"/>
      <c r="E2" s="4"/>
      <c r="F2" s="4"/>
      <c r="G2" s="4"/>
      <c r="H2" s="4"/>
      <c r="I2" s="4"/>
      <c r="J2" s="4"/>
      <c r="K2" s="5"/>
    </row>
    <row r="3" ht="23.25" customHeight="1">
      <c r="A3" s="1"/>
      <c r="B3" s="6"/>
      <c r="K3" s="7"/>
    </row>
    <row r="4" ht="20.25" customHeight="1">
      <c r="A4" s="1"/>
      <c r="B4" s="6"/>
      <c r="K4" s="7"/>
    </row>
    <row r="5">
      <c r="A5" s="1"/>
      <c r="B5" s="6"/>
      <c r="K5" s="7"/>
    </row>
    <row r="6" ht="13.5" customHeight="1">
      <c r="A6" s="1"/>
      <c r="B6" s="8"/>
      <c r="C6" s="9"/>
      <c r="D6" s="9"/>
      <c r="E6" s="9"/>
      <c r="F6" s="9"/>
      <c r="G6" s="9"/>
      <c r="H6" s="9"/>
      <c r="I6" s="9"/>
      <c r="J6" s="9"/>
      <c r="K6" s="10"/>
    </row>
    <row r="7" ht="30.0" customHeight="1">
      <c r="A7" s="1"/>
      <c r="B7" s="11" t="s">
        <v>50</v>
      </c>
      <c r="C7" s="4"/>
      <c r="D7" s="4"/>
      <c r="E7" s="4"/>
      <c r="F7" s="4"/>
      <c r="G7" s="4"/>
      <c r="H7" s="4"/>
      <c r="I7" s="4"/>
      <c r="J7" s="4"/>
      <c r="K7" s="5"/>
    </row>
    <row r="8" ht="30.0" customHeight="1">
      <c r="A8" s="1"/>
      <c r="B8" s="12" t="s">
        <v>2</v>
      </c>
      <c r="C8" s="14" t="s">
        <v>4</v>
      </c>
      <c r="D8" s="13" t="s">
        <v>5</v>
      </c>
      <c r="E8" s="14" t="s">
        <v>6</v>
      </c>
      <c r="F8" s="14" t="s">
        <v>7</v>
      </c>
      <c r="G8" s="13" t="s">
        <v>51</v>
      </c>
      <c r="H8" s="14" t="s">
        <v>9</v>
      </c>
      <c r="I8" s="14" t="s">
        <v>10</v>
      </c>
      <c r="J8" s="14" t="s">
        <v>11</v>
      </c>
      <c r="K8" s="15" t="s">
        <v>12</v>
      </c>
    </row>
    <row r="9" ht="52.5" customHeight="1">
      <c r="A9" s="27" t="str">
        <f t="shared" ref="A9:A22" si="1">$B$7</f>
        <v>RACIONALIZACIÓN DE TRAMITES</v>
      </c>
      <c r="B9" s="28" t="s">
        <v>14</v>
      </c>
      <c r="C9" s="32" t="s">
        <v>52</v>
      </c>
      <c r="D9" s="23" t="s">
        <v>53</v>
      </c>
      <c r="E9" s="25" t="s">
        <v>54</v>
      </c>
      <c r="F9" s="22">
        <v>1.0</v>
      </c>
      <c r="G9" s="22" t="s">
        <v>55</v>
      </c>
      <c r="H9" s="25" t="s">
        <v>56</v>
      </c>
      <c r="I9" s="25">
        <v>1.0</v>
      </c>
      <c r="J9" s="25">
        <v>0.0</v>
      </c>
      <c r="K9" s="26">
        <v>0.0</v>
      </c>
    </row>
    <row r="10" ht="52.5" customHeight="1">
      <c r="A10" s="27" t="str">
        <f t="shared" si="1"/>
        <v>RACIONALIZACIÓN DE TRAMITES</v>
      </c>
      <c r="B10" s="28" t="s">
        <v>20</v>
      </c>
      <c r="C10" s="32" t="s">
        <v>52</v>
      </c>
      <c r="D10" s="23" t="s">
        <v>57</v>
      </c>
      <c r="E10" s="33" t="s">
        <v>58</v>
      </c>
      <c r="F10" s="22">
        <v>1.0</v>
      </c>
      <c r="G10" s="34" t="s">
        <v>59</v>
      </c>
      <c r="H10" s="25" t="s">
        <v>56</v>
      </c>
      <c r="I10" s="25">
        <v>1.0</v>
      </c>
      <c r="J10" s="25">
        <v>0.0</v>
      </c>
      <c r="K10" s="26">
        <v>0.0</v>
      </c>
    </row>
    <row r="11" ht="52.5" customHeight="1">
      <c r="A11" s="27" t="str">
        <f t="shared" si="1"/>
        <v>RACIONALIZACIÓN DE TRAMITES</v>
      </c>
      <c r="B11" s="28" t="s">
        <v>26</v>
      </c>
      <c r="C11" s="32" t="s">
        <v>52</v>
      </c>
      <c r="D11" s="23" t="s">
        <v>60</v>
      </c>
      <c r="E11" s="25" t="s">
        <v>61</v>
      </c>
      <c r="F11" s="22">
        <v>2.0</v>
      </c>
      <c r="G11" s="22" t="s">
        <v>62</v>
      </c>
      <c r="H11" s="25" t="s">
        <v>56</v>
      </c>
      <c r="I11" s="25">
        <v>0.0</v>
      </c>
      <c r="J11" s="25">
        <v>1.0</v>
      </c>
      <c r="K11" s="26">
        <v>1.0</v>
      </c>
    </row>
    <row r="12" ht="52.5" customHeight="1">
      <c r="A12" s="27" t="str">
        <f t="shared" si="1"/>
        <v>RACIONALIZACIÓN DE TRAMITES</v>
      </c>
      <c r="B12" s="28" t="s">
        <v>30</v>
      </c>
      <c r="C12" s="32" t="s">
        <v>52</v>
      </c>
      <c r="D12" s="23" t="s">
        <v>63</v>
      </c>
      <c r="E12" s="25" t="s">
        <v>64</v>
      </c>
      <c r="F12" s="22">
        <v>2.0</v>
      </c>
      <c r="G12" s="22" t="s">
        <v>65</v>
      </c>
      <c r="H12" s="25" t="s">
        <v>56</v>
      </c>
      <c r="I12" s="25">
        <v>1.0</v>
      </c>
      <c r="J12" s="25">
        <v>0.0</v>
      </c>
      <c r="K12" s="26">
        <v>1.0</v>
      </c>
    </row>
    <row r="13" ht="52.5" customHeight="1">
      <c r="A13" s="27" t="str">
        <f t="shared" si="1"/>
        <v>RACIONALIZACIÓN DE TRAMITES</v>
      </c>
      <c r="B13" s="28" t="s">
        <v>34</v>
      </c>
      <c r="C13" s="32" t="s">
        <v>52</v>
      </c>
      <c r="D13" s="23" t="s">
        <v>66</v>
      </c>
      <c r="E13" s="25" t="s">
        <v>67</v>
      </c>
      <c r="F13" s="22">
        <v>1.0</v>
      </c>
      <c r="G13" s="22" t="s">
        <v>68</v>
      </c>
      <c r="H13" s="25" t="s">
        <v>56</v>
      </c>
      <c r="I13" s="25">
        <v>0.0</v>
      </c>
      <c r="J13" s="25">
        <v>1.0</v>
      </c>
      <c r="K13" s="26">
        <v>0.0</v>
      </c>
    </row>
    <row r="14" ht="52.5" customHeight="1">
      <c r="A14" s="27" t="str">
        <f t="shared" si="1"/>
        <v>RACIONALIZACIÓN DE TRAMITES</v>
      </c>
      <c r="B14" s="28" t="s">
        <v>39</v>
      </c>
      <c r="C14" s="32" t="s">
        <v>52</v>
      </c>
      <c r="D14" s="23" t="s">
        <v>69</v>
      </c>
      <c r="E14" s="25" t="s">
        <v>70</v>
      </c>
      <c r="F14" s="22">
        <v>2.0</v>
      </c>
      <c r="G14" s="22" t="s">
        <v>71</v>
      </c>
      <c r="H14" s="25" t="s">
        <v>56</v>
      </c>
      <c r="I14" s="25">
        <v>1.0</v>
      </c>
      <c r="J14" s="25">
        <v>0.0</v>
      </c>
      <c r="K14" s="26">
        <v>1.0</v>
      </c>
    </row>
    <row r="15" ht="52.5" customHeight="1">
      <c r="A15" s="27" t="str">
        <f t="shared" si="1"/>
        <v>RACIONALIZACIÓN DE TRAMITES</v>
      </c>
      <c r="B15" s="28" t="s">
        <v>43</v>
      </c>
      <c r="C15" s="32" t="s">
        <v>52</v>
      </c>
      <c r="D15" s="23" t="s">
        <v>72</v>
      </c>
      <c r="E15" s="25" t="s">
        <v>73</v>
      </c>
      <c r="F15" s="22">
        <v>1.0</v>
      </c>
      <c r="G15" s="22" t="s">
        <v>74</v>
      </c>
      <c r="H15" s="25" t="s">
        <v>56</v>
      </c>
      <c r="I15" s="25">
        <v>1.0</v>
      </c>
      <c r="J15" s="25">
        <v>0.0</v>
      </c>
      <c r="K15" s="26">
        <v>0.0</v>
      </c>
    </row>
    <row r="16" ht="52.5" customHeight="1">
      <c r="A16" s="27" t="str">
        <f t="shared" si="1"/>
        <v>RACIONALIZACIÓN DE TRAMITES</v>
      </c>
      <c r="B16" s="28" t="s">
        <v>75</v>
      </c>
      <c r="C16" s="32" t="s">
        <v>52</v>
      </c>
      <c r="D16" s="23" t="s">
        <v>76</v>
      </c>
      <c r="E16" s="25" t="s">
        <v>77</v>
      </c>
      <c r="F16" s="22">
        <v>2.0</v>
      </c>
      <c r="G16" s="22" t="s">
        <v>78</v>
      </c>
      <c r="H16" s="25" t="s">
        <v>56</v>
      </c>
      <c r="I16" s="25">
        <v>1.0</v>
      </c>
      <c r="J16" s="25">
        <v>0.0</v>
      </c>
      <c r="K16" s="26">
        <v>1.0</v>
      </c>
    </row>
    <row r="17" ht="52.5" customHeight="1">
      <c r="A17" s="27" t="str">
        <f t="shared" si="1"/>
        <v>RACIONALIZACIÓN DE TRAMITES</v>
      </c>
      <c r="B17" s="28" t="s">
        <v>79</v>
      </c>
      <c r="C17" s="32" t="s">
        <v>52</v>
      </c>
      <c r="D17" s="23" t="s">
        <v>80</v>
      </c>
      <c r="E17" s="25" t="s">
        <v>81</v>
      </c>
      <c r="F17" s="22">
        <v>1.0</v>
      </c>
      <c r="G17" s="22" t="s">
        <v>82</v>
      </c>
      <c r="H17" s="25" t="s">
        <v>56</v>
      </c>
      <c r="I17" s="25">
        <v>1.0</v>
      </c>
      <c r="J17" s="25">
        <v>0.0</v>
      </c>
      <c r="K17" s="26">
        <v>0.0</v>
      </c>
    </row>
    <row r="18" ht="52.5" customHeight="1">
      <c r="A18" s="27" t="str">
        <f t="shared" si="1"/>
        <v>RACIONALIZACIÓN DE TRAMITES</v>
      </c>
      <c r="B18" s="28" t="s">
        <v>83</v>
      </c>
      <c r="C18" s="32" t="s">
        <v>52</v>
      </c>
      <c r="D18" s="23" t="s">
        <v>84</v>
      </c>
      <c r="E18" s="25" t="s">
        <v>85</v>
      </c>
      <c r="F18" s="22">
        <v>1.0</v>
      </c>
      <c r="G18" s="22" t="s">
        <v>86</v>
      </c>
      <c r="H18" s="25" t="s">
        <v>56</v>
      </c>
      <c r="I18" s="25">
        <v>1.0</v>
      </c>
      <c r="J18" s="25">
        <v>0.0</v>
      </c>
      <c r="K18" s="26">
        <v>0.0</v>
      </c>
    </row>
    <row r="19" ht="52.5" customHeight="1">
      <c r="A19" s="27" t="str">
        <f t="shared" si="1"/>
        <v>RACIONALIZACIÓN DE TRAMITES</v>
      </c>
      <c r="B19" s="28" t="s">
        <v>87</v>
      </c>
      <c r="C19" s="32" t="s">
        <v>52</v>
      </c>
      <c r="D19" s="23" t="s">
        <v>88</v>
      </c>
      <c r="E19" s="25" t="s">
        <v>89</v>
      </c>
      <c r="F19" s="22">
        <v>1.0</v>
      </c>
      <c r="G19" s="22" t="s">
        <v>90</v>
      </c>
      <c r="H19" s="25" t="s">
        <v>56</v>
      </c>
      <c r="I19" s="25">
        <v>1.0</v>
      </c>
      <c r="J19" s="25">
        <v>0.0</v>
      </c>
      <c r="K19" s="26">
        <v>0.0</v>
      </c>
    </row>
    <row r="20" ht="52.5" customHeight="1">
      <c r="A20" s="27" t="str">
        <f t="shared" si="1"/>
        <v>RACIONALIZACIÓN DE TRAMITES</v>
      </c>
      <c r="B20" s="28" t="s">
        <v>91</v>
      </c>
      <c r="C20" s="32" t="s">
        <v>52</v>
      </c>
      <c r="D20" s="23" t="s">
        <v>92</v>
      </c>
      <c r="E20" s="25" t="s">
        <v>93</v>
      </c>
      <c r="F20" s="22">
        <v>1.0</v>
      </c>
      <c r="G20" s="22" t="s">
        <v>94</v>
      </c>
      <c r="H20" s="25" t="s">
        <v>56</v>
      </c>
      <c r="I20" s="25">
        <v>1.0</v>
      </c>
      <c r="J20" s="25">
        <v>0.0</v>
      </c>
      <c r="K20" s="26">
        <v>0.0</v>
      </c>
    </row>
    <row r="21" ht="52.5" customHeight="1">
      <c r="A21" s="27" t="str">
        <f t="shared" si="1"/>
        <v>RACIONALIZACIÓN DE TRAMITES</v>
      </c>
      <c r="B21" s="28" t="s">
        <v>95</v>
      </c>
      <c r="C21" s="32" t="s">
        <v>52</v>
      </c>
      <c r="D21" s="23" t="s">
        <v>96</v>
      </c>
      <c r="E21" s="25" t="s">
        <v>97</v>
      </c>
      <c r="F21" s="22">
        <v>1.0</v>
      </c>
      <c r="G21" s="22" t="s">
        <v>98</v>
      </c>
      <c r="H21" s="25" t="s">
        <v>56</v>
      </c>
      <c r="I21" s="25">
        <v>0.0</v>
      </c>
      <c r="J21" s="25">
        <v>1.0</v>
      </c>
      <c r="K21" s="26">
        <v>0.0</v>
      </c>
    </row>
    <row r="22" ht="52.5" customHeight="1">
      <c r="A22" s="27" t="str">
        <f t="shared" si="1"/>
        <v>RACIONALIZACIÓN DE TRAMITES</v>
      </c>
      <c r="B22" s="28" t="s">
        <v>99</v>
      </c>
      <c r="C22" s="32" t="s">
        <v>52</v>
      </c>
      <c r="D22" s="23" t="s">
        <v>100</v>
      </c>
      <c r="E22" s="25" t="s">
        <v>101</v>
      </c>
      <c r="F22" s="22">
        <v>1.0</v>
      </c>
      <c r="G22" s="22" t="s">
        <v>102</v>
      </c>
      <c r="H22" s="25" t="s">
        <v>56</v>
      </c>
      <c r="I22" s="25">
        <v>0.0</v>
      </c>
      <c r="J22" s="25">
        <v>0.0</v>
      </c>
      <c r="K22" s="26">
        <v>1.0</v>
      </c>
    </row>
    <row r="23" ht="15.75" customHeight="1">
      <c r="E23" s="35"/>
      <c r="F23" s="35"/>
      <c r="G23" s="35"/>
      <c r="H23" s="35"/>
    </row>
  </sheetData>
  <autoFilter ref="$A$8:$L$22"/>
  <customSheetViews>
    <customSheetView guid="{3E260C3F-5F48-47E8-9319-1A3916EEB783}" filter="1" showAutoFilter="1">
      <autoFilter ref="$C$8:$K$22"/>
    </customSheetView>
  </customSheetViews>
  <mergeCells count="2">
    <mergeCell ref="B2:K6"/>
    <mergeCell ref="B7:K7"/>
  </mergeCells>
  <hyperlinks>
    <hyperlink r:id="rId1" ref="E10"/>
    <hyperlink r:id="rId2" ref="G10"/>
  </hyperlinks>
  <printOptions gridLines="1" horizontalCentered="1"/>
  <pageMargins bottom="0.75" footer="0.0" header="0.0" left="0.7" right="0.7" top="0.75"/>
  <pageSetup fitToHeight="0" cellComments="atEnd" orientation="portrait" pageOrder="overThenDown"/>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min="4" max="4" width="32.29"/>
    <col customWidth="1" min="5" max="5" width="23.57"/>
    <col customWidth="1" min="6" max="6" width="8.86"/>
    <col customWidth="1" min="7" max="7" width="21.57"/>
    <col customWidth="1" min="8" max="11" width="18.0"/>
    <col customWidth="1" min="12" max="12" width="3.14"/>
  </cols>
  <sheetData>
    <row r="1" ht="12.75" customHeight="1">
      <c r="A1" s="1"/>
      <c r="B1" s="2"/>
      <c r="C1" s="2"/>
      <c r="D1" s="2"/>
      <c r="E1" s="2"/>
      <c r="F1" s="2"/>
      <c r="G1" s="2"/>
      <c r="H1" s="2"/>
      <c r="I1" s="2"/>
      <c r="J1" s="2"/>
      <c r="K1" s="2"/>
    </row>
    <row r="2">
      <c r="A2" s="1"/>
      <c r="B2" s="3" t="s">
        <v>103</v>
      </c>
      <c r="C2" s="4"/>
      <c r="D2" s="4"/>
      <c r="E2" s="4"/>
      <c r="F2" s="4"/>
      <c r="G2" s="4"/>
      <c r="H2" s="4"/>
      <c r="I2" s="4"/>
      <c r="J2" s="4"/>
      <c r="K2" s="5"/>
    </row>
    <row r="3" ht="23.25" customHeight="1">
      <c r="A3" s="1"/>
      <c r="B3" s="6"/>
      <c r="K3" s="7"/>
    </row>
    <row r="4" ht="20.25" customHeight="1">
      <c r="A4" s="1"/>
      <c r="B4" s="6"/>
      <c r="K4" s="7"/>
    </row>
    <row r="5">
      <c r="A5" s="1"/>
      <c r="B5" s="6"/>
      <c r="K5" s="7"/>
    </row>
    <row r="6" ht="13.5" customHeight="1">
      <c r="A6" s="1"/>
      <c r="B6" s="8"/>
      <c r="C6" s="9"/>
      <c r="D6" s="9"/>
      <c r="E6" s="9"/>
      <c r="F6" s="9"/>
      <c r="G6" s="9"/>
      <c r="H6" s="9"/>
      <c r="I6" s="9"/>
      <c r="J6" s="9"/>
      <c r="K6" s="10"/>
    </row>
    <row r="7" ht="30.0" customHeight="1">
      <c r="A7" s="1"/>
      <c r="B7" s="11" t="s">
        <v>104</v>
      </c>
      <c r="C7" s="4"/>
      <c r="D7" s="4"/>
      <c r="E7" s="4"/>
      <c r="F7" s="4"/>
      <c r="G7" s="4"/>
      <c r="H7" s="4"/>
      <c r="I7" s="4"/>
      <c r="J7" s="4"/>
      <c r="K7" s="5"/>
    </row>
    <row r="8" ht="30.0" customHeight="1">
      <c r="A8" s="1"/>
      <c r="B8" s="12" t="s">
        <v>2</v>
      </c>
      <c r="C8" s="14" t="s">
        <v>4</v>
      </c>
      <c r="D8" s="13" t="s">
        <v>5</v>
      </c>
      <c r="E8" s="14" t="s">
        <v>6</v>
      </c>
      <c r="F8" s="14" t="s">
        <v>7</v>
      </c>
      <c r="G8" s="13" t="s">
        <v>51</v>
      </c>
      <c r="H8" s="14" t="s">
        <v>9</v>
      </c>
      <c r="I8" s="14" t="s">
        <v>10</v>
      </c>
      <c r="J8" s="14" t="s">
        <v>11</v>
      </c>
      <c r="K8" s="15" t="s">
        <v>12</v>
      </c>
    </row>
    <row r="9" ht="52.5" customHeight="1">
      <c r="A9" s="27" t="str">
        <f t="shared" ref="A9:A23" si="1">$B$7</f>
        <v>RENDICIÓN DE CUENTAS</v>
      </c>
      <c r="B9" s="28" t="s">
        <v>14</v>
      </c>
      <c r="C9" s="32" t="s">
        <v>105</v>
      </c>
      <c r="D9" s="23" t="s">
        <v>106</v>
      </c>
      <c r="E9" s="25" t="s">
        <v>107</v>
      </c>
      <c r="F9" s="22">
        <v>1.0</v>
      </c>
      <c r="G9" s="23" t="s">
        <v>108</v>
      </c>
      <c r="H9" s="21" t="s">
        <v>109</v>
      </c>
      <c r="I9" s="25">
        <v>1.0</v>
      </c>
      <c r="J9" s="25">
        <v>0.0</v>
      </c>
      <c r="K9" s="26">
        <v>0.0</v>
      </c>
    </row>
    <row r="10" ht="52.5" customHeight="1">
      <c r="A10" s="27" t="str">
        <f t="shared" si="1"/>
        <v>RENDICIÓN DE CUENTAS</v>
      </c>
      <c r="B10" s="28" t="s">
        <v>20</v>
      </c>
      <c r="C10" s="32" t="s">
        <v>105</v>
      </c>
      <c r="D10" s="23" t="s">
        <v>110</v>
      </c>
      <c r="E10" s="25" t="s">
        <v>111</v>
      </c>
      <c r="F10" s="22">
        <v>1.0</v>
      </c>
      <c r="G10" s="23" t="s">
        <v>112</v>
      </c>
      <c r="H10" s="21" t="s">
        <v>113</v>
      </c>
      <c r="I10" s="25">
        <v>0.0</v>
      </c>
      <c r="J10" s="25">
        <v>1.0</v>
      </c>
      <c r="K10" s="26">
        <v>0.0</v>
      </c>
    </row>
    <row r="11" ht="52.5" customHeight="1">
      <c r="A11" s="27" t="str">
        <f t="shared" si="1"/>
        <v>RENDICIÓN DE CUENTAS</v>
      </c>
      <c r="B11" s="28" t="s">
        <v>26</v>
      </c>
      <c r="C11" s="32" t="s">
        <v>105</v>
      </c>
      <c r="D11" s="23" t="s">
        <v>114</v>
      </c>
      <c r="E11" s="25" t="s">
        <v>115</v>
      </c>
      <c r="F11" s="22">
        <v>1.0</v>
      </c>
      <c r="G11" s="23" t="s">
        <v>116</v>
      </c>
      <c r="H11" s="21" t="s">
        <v>117</v>
      </c>
      <c r="I11" s="25">
        <v>0.0</v>
      </c>
      <c r="J11" s="25">
        <v>1.0</v>
      </c>
      <c r="K11" s="26">
        <v>0.0</v>
      </c>
    </row>
    <row r="12" ht="52.5" customHeight="1">
      <c r="A12" s="27" t="str">
        <f t="shared" si="1"/>
        <v>RENDICIÓN DE CUENTAS</v>
      </c>
      <c r="B12" s="28" t="s">
        <v>30</v>
      </c>
      <c r="C12" s="32" t="s">
        <v>105</v>
      </c>
      <c r="D12" s="23" t="s">
        <v>118</v>
      </c>
      <c r="E12" s="25" t="s">
        <v>115</v>
      </c>
      <c r="F12" s="22">
        <v>1.0</v>
      </c>
      <c r="G12" s="23" t="s">
        <v>116</v>
      </c>
      <c r="H12" s="21" t="s">
        <v>117</v>
      </c>
      <c r="I12" s="25">
        <v>0.0</v>
      </c>
      <c r="J12" s="25">
        <v>1.0</v>
      </c>
      <c r="K12" s="26">
        <v>0.0</v>
      </c>
    </row>
    <row r="13" ht="52.5" customHeight="1">
      <c r="A13" s="27" t="str">
        <f t="shared" si="1"/>
        <v>RENDICIÓN DE CUENTAS</v>
      </c>
      <c r="B13" s="28" t="s">
        <v>34</v>
      </c>
      <c r="C13" s="32" t="s">
        <v>105</v>
      </c>
      <c r="D13" s="23" t="s">
        <v>119</v>
      </c>
      <c r="E13" s="25" t="s">
        <v>120</v>
      </c>
      <c r="F13" s="22">
        <v>1.0</v>
      </c>
      <c r="G13" s="23" t="s">
        <v>121</v>
      </c>
      <c r="H13" s="21" t="s">
        <v>117</v>
      </c>
      <c r="I13" s="25">
        <v>0.0</v>
      </c>
      <c r="J13" s="25">
        <v>1.0</v>
      </c>
      <c r="K13" s="26">
        <v>0.0</v>
      </c>
    </row>
    <row r="14" ht="52.5" customHeight="1">
      <c r="A14" s="27" t="str">
        <f t="shared" si="1"/>
        <v>RENDICIÓN DE CUENTAS</v>
      </c>
      <c r="B14" s="28" t="s">
        <v>39</v>
      </c>
      <c r="C14" s="32" t="s">
        <v>105</v>
      </c>
      <c r="D14" s="23" t="s">
        <v>122</v>
      </c>
      <c r="E14" s="25" t="s">
        <v>123</v>
      </c>
      <c r="F14" s="22">
        <v>30.0</v>
      </c>
      <c r="G14" s="23" t="s">
        <v>124</v>
      </c>
      <c r="H14" s="21" t="s">
        <v>113</v>
      </c>
      <c r="I14" s="25">
        <v>10.0</v>
      </c>
      <c r="J14" s="25">
        <v>10.0</v>
      </c>
      <c r="K14" s="26">
        <v>10.0</v>
      </c>
    </row>
    <row r="15" ht="52.5" customHeight="1">
      <c r="A15" s="27" t="str">
        <f t="shared" si="1"/>
        <v>RENDICIÓN DE CUENTAS</v>
      </c>
      <c r="B15" s="28" t="s">
        <v>43</v>
      </c>
      <c r="C15" s="32" t="s">
        <v>105</v>
      </c>
      <c r="D15" s="23" t="s">
        <v>125</v>
      </c>
      <c r="E15" s="25" t="s">
        <v>123</v>
      </c>
      <c r="F15" s="22">
        <v>10.0</v>
      </c>
      <c r="G15" s="23" t="s">
        <v>126</v>
      </c>
      <c r="H15" s="21" t="s">
        <v>113</v>
      </c>
      <c r="I15" s="25">
        <v>5.0</v>
      </c>
      <c r="J15" s="25">
        <v>3.0</v>
      </c>
      <c r="K15" s="26">
        <v>2.0</v>
      </c>
    </row>
    <row r="16" ht="52.5" customHeight="1">
      <c r="A16" s="27" t="str">
        <f t="shared" si="1"/>
        <v>RENDICIÓN DE CUENTAS</v>
      </c>
      <c r="B16" s="28" t="s">
        <v>75</v>
      </c>
      <c r="C16" s="32" t="s">
        <v>105</v>
      </c>
      <c r="D16" s="23" t="s">
        <v>127</v>
      </c>
      <c r="E16" s="25" t="s">
        <v>123</v>
      </c>
      <c r="F16" s="22">
        <v>60.0</v>
      </c>
      <c r="G16" s="23" t="s">
        <v>124</v>
      </c>
      <c r="H16" s="21" t="s">
        <v>113</v>
      </c>
      <c r="I16" s="25">
        <v>20.0</v>
      </c>
      <c r="J16" s="25">
        <v>20.0</v>
      </c>
      <c r="K16" s="26">
        <v>10.0</v>
      </c>
    </row>
    <row r="17" ht="52.5" customHeight="1">
      <c r="A17" s="27" t="str">
        <f t="shared" si="1"/>
        <v>RENDICIÓN DE CUENTAS</v>
      </c>
      <c r="B17" s="28" t="s">
        <v>79</v>
      </c>
      <c r="C17" s="32" t="s">
        <v>105</v>
      </c>
      <c r="D17" s="23" t="s">
        <v>128</v>
      </c>
      <c r="E17" s="25" t="s">
        <v>129</v>
      </c>
      <c r="F17" s="22">
        <v>10.0</v>
      </c>
      <c r="G17" s="23" t="s">
        <v>130</v>
      </c>
      <c r="H17" s="21" t="s">
        <v>113</v>
      </c>
      <c r="I17" s="25">
        <v>4.0</v>
      </c>
      <c r="J17" s="25">
        <v>4.0</v>
      </c>
      <c r="K17" s="26">
        <v>2.0</v>
      </c>
    </row>
    <row r="18" ht="52.5" customHeight="1">
      <c r="A18" s="27" t="str">
        <f t="shared" si="1"/>
        <v>RENDICIÓN DE CUENTAS</v>
      </c>
      <c r="B18" s="28" t="s">
        <v>83</v>
      </c>
      <c r="C18" s="32" t="s">
        <v>131</v>
      </c>
      <c r="D18" s="23" t="s">
        <v>132</v>
      </c>
      <c r="E18" s="25" t="s">
        <v>133</v>
      </c>
      <c r="F18" s="22">
        <v>1.0</v>
      </c>
      <c r="G18" s="23" t="s">
        <v>134</v>
      </c>
      <c r="H18" s="21" t="s">
        <v>113</v>
      </c>
      <c r="I18" s="25">
        <v>0.0</v>
      </c>
      <c r="J18" s="25">
        <v>0.0</v>
      </c>
      <c r="K18" s="26">
        <v>1.0</v>
      </c>
    </row>
    <row r="19" ht="52.5" customHeight="1">
      <c r="A19" s="27" t="str">
        <f t="shared" si="1"/>
        <v>RENDICIÓN DE CUENTAS</v>
      </c>
      <c r="B19" s="28" t="s">
        <v>87</v>
      </c>
      <c r="C19" s="32" t="s">
        <v>131</v>
      </c>
      <c r="D19" s="23" t="s">
        <v>135</v>
      </c>
      <c r="E19" s="25" t="s">
        <v>136</v>
      </c>
      <c r="F19" s="22">
        <v>1.0</v>
      </c>
      <c r="G19" s="23" t="s">
        <v>137</v>
      </c>
      <c r="H19" s="21" t="s">
        <v>117</v>
      </c>
      <c r="I19" s="25">
        <v>0.0</v>
      </c>
      <c r="J19" s="25">
        <v>0.0</v>
      </c>
      <c r="K19" s="26">
        <v>1.0</v>
      </c>
    </row>
    <row r="20" ht="52.5" customHeight="1">
      <c r="A20" s="27" t="str">
        <f t="shared" si="1"/>
        <v>RENDICIÓN DE CUENTAS</v>
      </c>
      <c r="B20" s="28" t="s">
        <v>91</v>
      </c>
      <c r="C20" s="32" t="s">
        <v>131</v>
      </c>
      <c r="D20" s="23" t="s">
        <v>138</v>
      </c>
      <c r="E20" s="25" t="s">
        <v>139</v>
      </c>
      <c r="F20" s="22">
        <v>1.0</v>
      </c>
      <c r="G20" s="23" t="s">
        <v>140</v>
      </c>
      <c r="H20" s="21" t="s">
        <v>113</v>
      </c>
      <c r="I20" s="25">
        <v>0.0</v>
      </c>
      <c r="J20" s="25">
        <v>0.0</v>
      </c>
      <c r="K20" s="26">
        <v>1.0</v>
      </c>
    </row>
    <row r="21" ht="52.5" customHeight="1">
      <c r="A21" s="27" t="str">
        <f t="shared" si="1"/>
        <v>RENDICIÓN DE CUENTAS</v>
      </c>
      <c r="B21" s="28" t="s">
        <v>95</v>
      </c>
      <c r="C21" s="32" t="s">
        <v>141</v>
      </c>
      <c r="D21" s="23" t="s">
        <v>142</v>
      </c>
      <c r="E21" s="25" t="s">
        <v>143</v>
      </c>
      <c r="F21" s="22">
        <v>1.0</v>
      </c>
      <c r="G21" s="23" t="s">
        <v>144</v>
      </c>
      <c r="H21" s="21" t="s">
        <v>117</v>
      </c>
      <c r="I21" s="25">
        <v>0.0</v>
      </c>
      <c r="J21" s="25">
        <v>0.0</v>
      </c>
      <c r="K21" s="26">
        <v>1.0</v>
      </c>
    </row>
    <row r="22" ht="52.5" customHeight="1">
      <c r="A22" s="27" t="str">
        <f t="shared" si="1"/>
        <v>RENDICIÓN DE CUENTAS</v>
      </c>
      <c r="B22" s="28" t="s">
        <v>99</v>
      </c>
      <c r="C22" s="32" t="s">
        <v>141</v>
      </c>
      <c r="D22" s="23" t="s">
        <v>145</v>
      </c>
      <c r="E22" s="25" t="s">
        <v>146</v>
      </c>
      <c r="F22" s="22">
        <v>1.0</v>
      </c>
      <c r="G22" s="23" t="s">
        <v>147</v>
      </c>
      <c r="H22" s="21" t="s">
        <v>117</v>
      </c>
      <c r="I22" s="25">
        <v>0.0</v>
      </c>
      <c r="J22" s="25">
        <v>0.0</v>
      </c>
      <c r="K22" s="26">
        <v>1.0</v>
      </c>
    </row>
    <row r="23" ht="52.5" customHeight="1">
      <c r="A23" s="27" t="str">
        <f t="shared" si="1"/>
        <v>RENDICIÓN DE CUENTAS</v>
      </c>
      <c r="B23" s="28" t="s">
        <v>148</v>
      </c>
      <c r="C23" s="32" t="s">
        <v>141</v>
      </c>
      <c r="D23" s="23" t="s">
        <v>149</v>
      </c>
      <c r="E23" s="25" t="s">
        <v>150</v>
      </c>
      <c r="F23" s="22">
        <v>10.0</v>
      </c>
      <c r="G23" s="23" t="s">
        <v>151</v>
      </c>
      <c r="H23" s="21" t="s">
        <v>117</v>
      </c>
      <c r="I23" s="25">
        <v>0.0</v>
      </c>
      <c r="J23" s="25">
        <v>0.0</v>
      </c>
      <c r="K23" s="26">
        <v>10.0</v>
      </c>
    </row>
    <row r="24" ht="15.75" customHeight="1"/>
  </sheetData>
  <autoFilter ref="$A$8:$L$23"/>
  <customSheetViews>
    <customSheetView guid="{3E260C3F-5F48-47E8-9319-1A3916EEB783}" filter="1" showAutoFilter="1">
      <autoFilter ref="$C$8:$K$23"/>
    </customSheetView>
  </customSheetViews>
  <mergeCells count="2">
    <mergeCell ref="B2:K6"/>
    <mergeCell ref="B7:K7"/>
  </mergeCells>
  <printOptions gridLines="1" horizontalCentered="1"/>
  <pageMargins bottom="0.75" footer="0.0" header="0.0" left="0.7" right="0.7" top="0.75"/>
  <pageSetup fitToHeight="0"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min="4" max="4" width="32.29"/>
    <col customWidth="1" min="5" max="5" width="23.57"/>
    <col customWidth="1" min="6" max="6" width="8.86"/>
    <col customWidth="1" min="7" max="7" width="21.57"/>
    <col customWidth="1" min="8" max="11" width="18.0"/>
    <col customWidth="1" min="12" max="12" width="3.14"/>
  </cols>
  <sheetData>
    <row r="1" ht="12.75" customHeight="1">
      <c r="A1" s="1"/>
      <c r="B1" s="2"/>
      <c r="C1" s="2"/>
      <c r="D1" s="2"/>
      <c r="E1" s="2"/>
      <c r="F1" s="2"/>
      <c r="G1" s="2"/>
      <c r="H1" s="2"/>
      <c r="I1" s="2"/>
      <c r="J1" s="2"/>
      <c r="K1" s="2"/>
    </row>
    <row r="2">
      <c r="A2" s="1"/>
      <c r="B2" s="3" t="s">
        <v>152</v>
      </c>
      <c r="C2" s="4"/>
      <c r="D2" s="4"/>
      <c r="E2" s="4"/>
      <c r="F2" s="4"/>
      <c r="G2" s="4"/>
      <c r="H2" s="4"/>
      <c r="I2" s="4"/>
      <c r="J2" s="4"/>
      <c r="K2" s="5"/>
    </row>
    <row r="3" ht="23.25" customHeight="1">
      <c r="A3" s="1"/>
      <c r="B3" s="6"/>
      <c r="K3" s="7"/>
    </row>
    <row r="4" ht="20.25" customHeight="1">
      <c r="A4" s="1"/>
      <c r="B4" s="6"/>
      <c r="K4" s="7"/>
    </row>
    <row r="5">
      <c r="A5" s="1"/>
      <c r="B5" s="6"/>
      <c r="K5" s="7"/>
    </row>
    <row r="6" ht="13.5" customHeight="1">
      <c r="A6" s="1"/>
      <c r="B6" s="8"/>
      <c r="C6" s="9"/>
      <c r="D6" s="9"/>
      <c r="E6" s="9"/>
      <c r="F6" s="9"/>
      <c r="G6" s="9"/>
      <c r="H6" s="9"/>
      <c r="I6" s="9"/>
      <c r="J6" s="9"/>
      <c r="K6" s="10"/>
    </row>
    <row r="7" ht="30.0" customHeight="1">
      <c r="A7" s="1"/>
      <c r="B7" s="11" t="s">
        <v>153</v>
      </c>
      <c r="C7" s="4"/>
      <c r="D7" s="4"/>
      <c r="E7" s="4"/>
      <c r="F7" s="4"/>
      <c r="G7" s="4"/>
      <c r="H7" s="4"/>
      <c r="I7" s="4"/>
      <c r="J7" s="4"/>
      <c r="K7" s="5"/>
    </row>
    <row r="8" ht="30.0" customHeight="1">
      <c r="A8" s="1"/>
      <c r="B8" s="12" t="s">
        <v>2</v>
      </c>
      <c r="C8" s="14" t="s">
        <v>4</v>
      </c>
      <c r="D8" s="13" t="s">
        <v>5</v>
      </c>
      <c r="E8" s="14" t="s">
        <v>6</v>
      </c>
      <c r="F8" s="14" t="s">
        <v>7</v>
      </c>
      <c r="G8" s="13" t="s">
        <v>51</v>
      </c>
      <c r="H8" s="14" t="s">
        <v>9</v>
      </c>
      <c r="I8" s="14" t="s">
        <v>10</v>
      </c>
      <c r="J8" s="14" t="s">
        <v>11</v>
      </c>
      <c r="K8" s="15" t="s">
        <v>12</v>
      </c>
    </row>
    <row r="9" ht="52.5" customHeight="1">
      <c r="A9" s="27" t="str">
        <f t="shared" ref="A9:A16" si="1">$B$7</f>
        <v>MECANISMOS PARA MEJORAR LA ATENCIÓN AL CIUDADANO</v>
      </c>
      <c r="B9" s="36" t="s">
        <v>14</v>
      </c>
      <c r="C9" s="37" t="s">
        <v>154</v>
      </c>
      <c r="D9" s="38" t="s">
        <v>155</v>
      </c>
      <c r="E9" s="39" t="s">
        <v>156</v>
      </c>
      <c r="F9" s="40">
        <v>1.0</v>
      </c>
      <c r="G9" s="41" t="s">
        <v>156</v>
      </c>
      <c r="H9" s="42" t="s">
        <v>157</v>
      </c>
      <c r="I9" s="39">
        <v>0.0</v>
      </c>
      <c r="J9" s="39">
        <v>0.0</v>
      </c>
      <c r="K9" s="43">
        <v>1.0</v>
      </c>
    </row>
    <row r="10" ht="52.5" customHeight="1">
      <c r="A10" s="27" t="str">
        <f t="shared" si="1"/>
        <v>MECANISMOS PARA MEJORAR LA ATENCIÓN AL CIUDADANO</v>
      </c>
      <c r="B10" s="28" t="s">
        <v>20</v>
      </c>
      <c r="C10" s="32" t="s">
        <v>158</v>
      </c>
      <c r="D10" s="23" t="s">
        <v>159</v>
      </c>
      <c r="E10" s="25" t="s">
        <v>160</v>
      </c>
      <c r="F10" s="22">
        <v>3.0</v>
      </c>
      <c r="G10" s="23" t="s">
        <v>161</v>
      </c>
      <c r="H10" s="21" t="s">
        <v>157</v>
      </c>
      <c r="I10" s="25">
        <v>1.0</v>
      </c>
      <c r="J10" s="25">
        <v>1.0</v>
      </c>
      <c r="K10" s="26">
        <v>1.0</v>
      </c>
    </row>
    <row r="11" ht="52.5" customHeight="1">
      <c r="A11" s="27" t="str">
        <f t="shared" si="1"/>
        <v>MECANISMOS PARA MEJORAR LA ATENCIÓN AL CIUDADANO</v>
      </c>
      <c r="B11" s="36" t="s">
        <v>26</v>
      </c>
      <c r="C11" s="44" t="s">
        <v>158</v>
      </c>
      <c r="D11" s="20" t="s">
        <v>162</v>
      </c>
      <c r="E11" s="25" t="s">
        <v>163</v>
      </c>
      <c r="F11" s="29">
        <v>1.0</v>
      </c>
      <c r="G11" s="20" t="s">
        <v>164</v>
      </c>
      <c r="H11" s="24" t="s">
        <v>165</v>
      </c>
      <c r="I11" s="30">
        <v>1.0</v>
      </c>
      <c r="J11" s="30">
        <v>0.0</v>
      </c>
      <c r="K11" s="31">
        <v>0.0</v>
      </c>
    </row>
    <row r="12" ht="52.5" customHeight="1">
      <c r="A12" s="27" t="str">
        <f t="shared" si="1"/>
        <v>MECANISMOS PARA MEJORAR LA ATENCIÓN AL CIUDADANO</v>
      </c>
      <c r="B12" s="28" t="s">
        <v>30</v>
      </c>
      <c r="C12" s="32" t="s">
        <v>166</v>
      </c>
      <c r="D12" s="23" t="s">
        <v>167</v>
      </c>
      <c r="E12" s="30" t="s">
        <v>168</v>
      </c>
      <c r="F12" s="29">
        <v>1.0</v>
      </c>
      <c r="G12" s="20" t="s">
        <v>169</v>
      </c>
      <c r="H12" s="21" t="s">
        <v>157</v>
      </c>
      <c r="I12" s="30">
        <v>1.0</v>
      </c>
      <c r="J12" s="25">
        <v>0.0</v>
      </c>
      <c r="K12" s="26">
        <v>0.0</v>
      </c>
    </row>
    <row r="13" ht="52.5" customHeight="1">
      <c r="A13" s="27" t="str">
        <f t="shared" si="1"/>
        <v>MECANISMOS PARA MEJORAR LA ATENCIÓN AL CIUDADANO</v>
      </c>
      <c r="B13" s="36" t="s">
        <v>34</v>
      </c>
      <c r="C13" s="44" t="s">
        <v>166</v>
      </c>
      <c r="D13" s="23" t="s">
        <v>170</v>
      </c>
      <c r="E13" s="25" t="s">
        <v>171</v>
      </c>
      <c r="F13" s="22">
        <v>3.0</v>
      </c>
      <c r="G13" s="20" t="s">
        <v>172</v>
      </c>
      <c r="H13" s="21" t="s">
        <v>157</v>
      </c>
      <c r="I13" s="30">
        <v>1.0</v>
      </c>
      <c r="J13" s="25">
        <v>1.0</v>
      </c>
      <c r="K13" s="31">
        <v>1.0</v>
      </c>
    </row>
    <row r="14" ht="52.5" customHeight="1">
      <c r="A14" s="27" t="str">
        <f t="shared" si="1"/>
        <v>MECANISMOS PARA MEJORAR LA ATENCIÓN AL CIUDADANO</v>
      </c>
      <c r="B14" s="28" t="s">
        <v>39</v>
      </c>
      <c r="C14" s="44" t="s">
        <v>166</v>
      </c>
      <c r="D14" s="23" t="s">
        <v>173</v>
      </c>
      <c r="E14" s="25" t="s">
        <v>174</v>
      </c>
      <c r="F14" s="22">
        <v>3.0</v>
      </c>
      <c r="G14" s="23" t="s">
        <v>175</v>
      </c>
      <c r="H14" s="21" t="s">
        <v>157</v>
      </c>
      <c r="I14" s="25">
        <v>1.0</v>
      </c>
      <c r="J14" s="25">
        <v>1.0</v>
      </c>
      <c r="K14" s="26">
        <v>1.0</v>
      </c>
    </row>
    <row r="15" ht="52.5" customHeight="1">
      <c r="A15" s="27" t="str">
        <f t="shared" si="1"/>
        <v>MECANISMOS PARA MEJORAR LA ATENCIÓN AL CIUDADANO</v>
      </c>
      <c r="B15" s="36" t="s">
        <v>43</v>
      </c>
      <c r="C15" s="32" t="s">
        <v>176</v>
      </c>
      <c r="D15" s="20" t="s">
        <v>177</v>
      </c>
      <c r="E15" s="30" t="s">
        <v>178</v>
      </c>
      <c r="F15" s="22">
        <v>3.0</v>
      </c>
      <c r="G15" s="20" t="s">
        <v>179</v>
      </c>
      <c r="H15" s="21" t="s">
        <v>157</v>
      </c>
      <c r="I15" s="25">
        <v>0.0</v>
      </c>
      <c r="J15" s="30">
        <v>1.0</v>
      </c>
      <c r="K15" s="26">
        <v>2.0</v>
      </c>
    </row>
    <row r="16" ht="52.5" customHeight="1">
      <c r="A16" s="27" t="str">
        <f t="shared" si="1"/>
        <v>MECANISMOS PARA MEJORAR LA ATENCIÓN AL CIUDADANO</v>
      </c>
      <c r="B16" s="36" t="s">
        <v>75</v>
      </c>
      <c r="C16" s="32" t="s">
        <v>176</v>
      </c>
      <c r="D16" s="20" t="s">
        <v>180</v>
      </c>
      <c r="E16" s="30" t="s">
        <v>181</v>
      </c>
      <c r="F16" s="22">
        <v>1.0</v>
      </c>
      <c r="G16" s="20" t="s">
        <v>182</v>
      </c>
      <c r="H16" s="21" t="s">
        <v>157</v>
      </c>
      <c r="I16" s="25">
        <v>1.0</v>
      </c>
      <c r="J16" s="30">
        <v>0.0</v>
      </c>
      <c r="K16" s="26">
        <v>0.0</v>
      </c>
    </row>
    <row r="17" ht="15.75" customHeight="1"/>
  </sheetData>
  <autoFilter ref="$A$8:$L$16"/>
  <customSheetViews>
    <customSheetView guid="{3E260C3F-5F48-47E8-9319-1A3916EEB783}" filter="1" showAutoFilter="1">
      <autoFilter ref="$C$8:$K$17"/>
    </customSheetView>
  </customSheetViews>
  <mergeCells count="2">
    <mergeCell ref="B2:K6"/>
    <mergeCell ref="B7:K7"/>
  </mergeCells>
  <printOptions gridLines="1" horizontalCentered="1"/>
  <pageMargins bottom="0.75" footer="0.0" header="0.0" left="0.7" right="0.7" top="0.75"/>
  <pageSetup fitToHeight="0"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min="4" max="4" width="32.29"/>
    <col customWidth="1" min="5" max="5" width="23.57"/>
    <col customWidth="1" min="6" max="6" width="8.86"/>
    <col customWidth="1" min="7" max="7" width="21.57"/>
    <col customWidth="1" min="8" max="11" width="18.0"/>
    <col customWidth="1" min="12" max="12" width="3.14"/>
  </cols>
  <sheetData>
    <row r="1" ht="12.75" customHeight="1">
      <c r="A1" s="1"/>
      <c r="B1" s="2"/>
      <c r="C1" s="2"/>
      <c r="D1" s="2"/>
      <c r="E1" s="2"/>
      <c r="F1" s="2"/>
      <c r="G1" s="2"/>
      <c r="H1" s="2"/>
      <c r="I1" s="2"/>
      <c r="J1" s="2"/>
      <c r="K1" s="2"/>
    </row>
    <row r="2">
      <c r="A2" s="1"/>
      <c r="B2" s="3" t="s">
        <v>183</v>
      </c>
      <c r="C2" s="4"/>
      <c r="D2" s="4"/>
      <c r="E2" s="4"/>
      <c r="F2" s="4"/>
      <c r="G2" s="4"/>
      <c r="H2" s="4"/>
      <c r="I2" s="4"/>
      <c r="J2" s="4"/>
      <c r="K2" s="5"/>
    </row>
    <row r="3" ht="23.25" customHeight="1">
      <c r="A3" s="1"/>
      <c r="B3" s="6"/>
      <c r="K3" s="7"/>
    </row>
    <row r="4" ht="20.25" customHeight="1">
      <c r="A4" s="1"/>
      <c r="B4" s="6"/>
      <c r="K4" s="7"/>
    </row>
    <row r="5">
      <c r="A5" s="1"/>
      <c r="B5" s="6"/>
      <c r="K5" s="7"/>
    </row>
    <row r="6" ht="13.5" customHeight="1">
      <c r="A6" s="1"/>
      <c r="B6" s="8"/>
      <c r="C6" s="9"/>
      <c r="D6" s="9"/>
      <c r="E6" s="9"/>
      <c r="F6" s="9"/>
      <c r="G6" s="9"/>
      <c r="H6" s="9"/>
      <c r="I6" s="9"/>
      <c r="J6" s="9"/>
      <c r="K6" s="10"/>
    </row>
    <row r="7" ht="30.0" customHeight="1">
      <c r="A7" s="1"/>
      <c r="B7" s="11" t="s">
        <v>184</v>
      </c>
      <c r="C7" s="4"/>
      <c r="D7" s="4"/>
      <c r="E7" s="4"/>
      <c r="F7" s="4"/>
      <c r="G7" s="4"/>
      <c r="H7" s="4"/>
      <c r="I7" s="4"/>
      <c r="J7" s="4"/>
      <c r="K7" s="5"/>
    </row>
    <row r="8" ht="30.0" customHeight="1">
      <c r="A8" s="1"/>
      <c r="B8" s="12" t="s">
        <v>2</v>
      </c>
      <c r="C8" s="14" t="s">
        <v>4</v>
      </c>
      <c r="D8" s="13" t="s">
        <v>5</v>
      </c>
      <c r="E8" s="14" t="s">
        <v>6</v>
      </c>
      <c r="F8" s="14" t="s">
        <v>7</v>
      </c>
      <c r="G8" s="13" t="s">
        <v>51</v>
      </c>
      <c r="H8" s="14" t="s">
        <v>9</v>
      </c>
      <c r="I8" s="14" t="s">
        <v>10</v>
      </c>
      <c r="J8" s="14" t="s">
        <v>11</v>
      </c>
      <c r="K8" s="15" t="s">
        <v>12</v>
      </c>
    </row>
    <row r="9" ht="52.5" customHeight="1">
      <c r="A9" s="27" t="str">
        <f t="shared" ref="A9:A14" si="1">$B$7</f>
        <v>MECANISMOS PARA LA TRANSPARENCIA Y ACCESO A LA INFORMACIÓN</v>
      </c>
      <c r="B9" s="28" t="s">
        <v>14</v>
      </c>
      <c r="C9" s="32" t="s">
        <v>185</v>
      </c>
      <c r="D9" s="23" t="s">
        <v>186</v>
      </c>
      <c r="E9" s="30" t="s">
        <v>187</v>
      </c>
      <c r="F9" s="29">
        <v>1.0</v>
      </c>
      <c r="G9" s="20" t="s">
        <v>188</v>
      </c>
      <c r="H9" s="21" t="s">
        <v>189</v>
      </c>
      <c r="I9" s="25">
        <v>0.0</v>
      </c>
      <c r="J9" s="25">
        <v>0.0</v>
      </c>
      <c r="K9" s="31">
        <v>1.0</v>
      </c>
    </row>
    <row r="10" ht="52.5" customHeight="1">
      <c r="A10" s="27" t="str">
        <f t="shared" si="1"/>
        <v>MECANISMOS PARA LA TRANSPARENCIA Y ACCESO A LA INFORMACIÓN</v>
      </c>
      <c r="B10" s="28" t="s">
        <v>20</v>
      </c>
      <c r="C10" s="32" t="s">
        <v>185</v>
      </c>
      <c r="D10" s="23" t="s">
        <v>190</v>
      </c>
      <c r="E10" s="25" t="s">
        <v>191</v>
      </c>
      <c r="F10" s="22">
        <v>1.0</v>
      </c>
      <c r="G10" s="23" t="s">
        <v>192</v>
      </c>
      <c r="H10" s="21" t="s">
        <v>25</v>
      </c>
      <c r="I10" s="25">
        <v>1.0</v>
      </c>
      <c r="J10" s="25">
        <v>1.0</v>
      </c>
      <c r="K10" s="26">
        <v>1.0</v>
      </c>
    </row>
    <row r="11" ht="52.5" customHeight="1">
      <c r="A11" s="27" t="str">
        <f t="shared" si="1"/>
        <v>MECANISMOS PARA LA TRANSPARENCIA Y ACCESO A LA INFORMACIÓN</v>
      </c>
      <c r="B11" s="28" t="s">
        <v>26</v>
      </c>
      <c r="C11" s="32" t="s">
        <v>185</v>
      </c>
      <c r="D11" s="23" t="s">
        <v>193</v>
      </c>
      <c r="E11" s="25" t="s">
        <v>194</v>
      </c>
      <c r="F11" s="22">
        <v>1.0</v>
      </c>
      <c r="G11" s="23" t="s">
        <v>195</v>
      </c>
      <c r="H11" s="21" t="s">
        <v>196</v>
      </c>
      <c r="I11" s="25">
        <v>1.0</v>
      </c>
      <c r="J11" s="25">
        <v>1.0</v>
      </c>
      <c r="K11" s="26">
        <v>1.0</v>
      </c>
    </row>
    <row r="12" ht="52.5" customHeight="1">
      <c r="A12" s="27" t="str">
        <f t="shared" si="1"/>
        <v>MECANISMOS PARA LA TRANSPARENCIA Y ACCESO A LA INFORMACIÓN</v>
      </c>
      <c r="B12" s="28" t="s">
        <v>30</v>
      </c>
      <c r="C12" s="32" t="s">
        <v>185</v>
      </c>
      <c r="D12" s="23" t="s">
        <v>197</v>
      </c>
      <c r="E12" s="25" t="s">
        <v>198</v>
      </c>
      <c r="F12" s="29">
        <v>1.0</v>
      </c>
      <c r="G12" s="23" t="s">
        <v>199</v>
      </c>
      <c r="H12" s="21" t="s">
        <v>189</v>
      </c>
      <c r="I12" s="25">
        <v>0.0</v>
      </c>
      <c r="J12" s="25">
        <v>0.0</v>
      </c>
      <c r="K12" s="31">
        <v>1.0</v>
      </c>
    </row>
    <row r="13" ht="52.5" customHeight="1">
      <c r="A13" s="27" t="str">
        <f t="shared" si="1"/>
        <v>MECANISMOS PARA LA TRANSPARENCIA Y ACCESO A LA INFORMACIÓN</v>
      </c>
      <c r="B13" s="28" t="s">
        <v>34</v>
      </c>
      <c r="C13" s="32" t="s">
        <v>200</v>
      </c>
      <c r="D13" s="23" t="s">
        <v>201</v>
      </c>
      <c r="E13" s="25" t="s">
        <v>202</v>
      </c>
      <c r="F13" s="29">
        <v>1.0</v>
      </c>
      <c r="G13" s="23" t="s">
        <v>203</v>
      </c>
      <c r="H13" s="21" t="s">
        <v>189</v>
      </c>
      <c r="I13" s="25">
        <v>0.0</v>
      </c>
      <c r="J13" s="25">
        <v>0.0</v>
      </c>
      <c r="K13" s="31">
        <v>1.0</v>
      </c>
    </row>
    <row r="14" ht="52.5" customHeight="1">
      <c r="A14" s="27" t="str">
        <f t="shared" si="1"/>
        <v>MECANISMOS PARA LA TRANSPARENCIA Y ACCESO A LA INFORMACIÓN</v>
      </c>
      <c r="B14" s="28" t="s">
        <v>39</v>
      </c>
      <c r="C14" s="32" t="s">
        <v>204</v>
      </c>
      <c r="D14" s="23" t="s">
        <v>205</v>
      </c>
      <c r="E14" s="25" t="s">
        <v>206</v>
      </c>
      <c r="F14" s="29">
        <v>1.0</v>
      </c>
      <c r="G14" s="23" t="s">
        <v>207</v>
      </c>
      <c r="H14" s="21" t="s">
        <v>157</v>
      </c>
      <c r="I14" s="25">
        <v>1.0</v>
      </c>
      <c r="J14" s="25">
        <v>1.0</v>
      </c>
      <c r="K14" s="31">
        <v>1.0</v>
      </c>
    </row>
    <row r="15" ht="15.75" customHeight="1"/>
  </sheetData>
  <autoFilter ref="$A$8:$L$14"/>
  <customSheetViews>
    <customSheetView guid="{3E260C3F-5F48-47E8-9319-1A3916EEB783}" filter="1" showAutoFilter="1">
      <autoFilter ref="$C$8:$K$14"/>
    </customSheetView>
  </customSheetViews>
  <mergeCells count="2">
    <mergeCell ref="B2:K6"/>
    <mergeCell ref="B7:K7"/>
  </mergeCells>
  <printOptions gridLines="1" horizontalCentered="1"/>
  <pageMargins bottom="0.75" footer="0.0" header="0.0" left="0.7" right="0.7" top="0.75"/>
  <pageSetup fitToHeight="0" cellComments="atEnd"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3" width="20.57"/>
    <col customWidth="1" min="4" max="4" width="32.29"/>
    <col customWidth="1" min="5" max="5" width="23.57"/>
    <col customWidth="1" min="6" max="6" width="8.86"/>
    <col customWidth="1" min="7" max="7" width="21.57"/>
    <col customWidth="1" min="8" max="11" width="18.0"/>
    <col customWidth="1" min="12" max="12" width="3.14"/>
  </cols>
  <sheetData>
    <row r="1" ht="12.75" customHeight="1">
      <c r="A1" s="45"/>
      <c r="B1" s="2"/>
      <c r="C1" s="2"/>
      <c r="D1" s="2"/>
      <c r="E1" s="2"/>
      <c r="F1" s="2"/>
      <c r="G1" s="2"/>
      <c r="H1" s="2"/>
      <c r="I1" s="2"/>
      <c r="J1" s="2"/>
      <c r="K1" s="2"/>
    </row>
    <row r="2">
      <c r="A2" s="1"/>
      <c r="B2" s="3" t="s">
        <v>208</v>
      </c>
      <c r="C2" s="4"/>
      <c r="D2" s="4"/>
      <c r="E2" s="4"/>
      <c r="F2" s="4"/>
      <c r="G2" s="4"/>
      <c r="H2" s="4"/>
      <c r="I2" s="4"/>
      <c r="J2" s="4"/>
      <c r="K2" s="5"/>
    </row>
    <row r="3" ht="23.25" customHeight="1">
      <c r="A3" s="1"/>
      <c r="B3" s="6"/>
      <c r="K3" s="7"/>
    </row>
    <row r="4" ht="20.25" customHeight="1">
      <c r="A4" s="1"/>
      <c r="B4" s="6"/>
      <c r="K4" s="7"/>
    </row>
    <row r="5">
      <c r="A5" s="1"/>
      <c r="B5" s="6"/>
      <c r="K5" s="7"/>
    </row>
    <row r="6" ht="13.5" customHeight="1">
      <c r="A6" s="1"/>
      <c r="B6" s="8"/>
      <c r="C6" s="9"/>
      <c r="D6" s="9"/>
      <c r="E6" s="9"/>
      <c r="F6" s="9"/>
      <c r="G6" s="9"/>
      <c r="H6" s="9"/>
      <c r="I6" s="9"/>
      <c r="J6" s="9"/>
      <c r="K6" s="10"/>
    </row>
    <row r="7" ht="30.0" customHeight="1">
      <c r="A7" s="1"/>
      <c r="B7" s="11" t="s">
        <v>209</v>
      </c>
      <c r="C7" s="4"/>
      <c r="D7" s="4"/>
      <c r="E7" s="4"/>
      <c r="F7" s="4"/>
      <c r="G7" s="4"/>
      <c r="H7" s="4"/>
      <c r="I7" s="4"/>
      <c r="J7" s="4"/>
      <c r="K7" s="5"/>
    </row>
    <row r="8" ht="30.0" customHeight="1">
      <c r="A8" s="1"/>
      <c r="B8" s="12" t="s">
        <v>2</v>
      </c>
      <c r="C8" s="14" t="s">
        <v>4</v>
      </c>
      <c r="D8" s="13" t="s">
        <v>5</v>
      </c>
      <c r="E8" s="14" t="s">
        <v>6</v>
      </c>
      <c r="F8" s="14" t="s">
        <v>7</v>
      </c>
      <c r="G8" s="13" t="s">
        <v>51</v>
      </c>
      <c r="H8" s="14" t="s">
        <v>9</v>
      </c>
      <c r="I8" s="14" t="s">
        <v>10</v>
      </c>
      <c r="J8" s="14" t="s">
        <v>11</v>
      </c>
      <c r="K8" s="15" t="s">
        <v>12</v>
      </c>
    </row>
    <row r="9" ht="52.5" customHeight="1">
      <c r="A9" s="27" t="str">
        <f t="shared" ref="A9:A16" si="1">$B$7</f>
        <v>INICIATIVAS ADICIONALES</v>
      </c>
      <c r="B9" s="28" t="s">
        <v>14</v>
      </c>
      <c r="C9" s="32" t="s">
        <v>210</v>
      </c>
      <c r="D9" s="23" t="s">
        <v>211</v>
      </c>
      <c r="E9" s="25" t="s">
        <v>212</v>
      </c>
      <c r="F9" s="22">
        <v>1.0</v>
      </c>
      <c r="G9" s="23" t="s">
        <v>213</v>
      </c>
      <c r="H9" s="21" t="s">
        <v>165</v>
      </c>
      <c r="I9" s="25">
        <v>1.0</v>
      </c>
      <c r="J9" s="25">
        <v>0.0</v>
      </c>
      <c r="K9" s="26">
        <v>0.0</v>
      </c>
    </row>
    <row r="10" ht="52.5" customHeight="1">
      <c r="A10" s="27" t="str">
        <f t="shared" si="1"/>
        <v>INICIATIVAS ADICIONALES</v>
      </c>
      <c r="B10" s="28" t="s">
        <v>20</v>
      </c>
      <c r="C10" s="32" t="s">
        <v>210</v>
      </c>
      <c r="D10" s="23" t="s">
        <v>214</v>
      </c>
      <c r="E10" s="25" t="s">
        <v>215</v>
      </c>
      <c r="F10" s="22">
        <v>3.0</v>
      </c>
      <c r="G10" s="23" t="s">
        <v>161</v>
      </c>
      <c r="H10" s="21" t="s">
        <v>165</v>
      </c>
      <c r="I10" s="25">
        <v>1.0</v>
      </c>
      <c r="J10" s="25">
        <v>1.0</v>
      </c>
      <c r="K10" s="26">
        <v>1.0</v>
      </c>
    </row>
    <row r="11" ht="52.5" customHeight="1">
      <c r="A11" s="27" t="str">
        <f t="shared" si="1"/>
        <v>INICIATIVAS ADICIONALES</v>
      </c>
      <c r="B11" s="28" t="s">
        <v>26</v>
      </c>
      <c r="C11" s="32" t="s">
        <v>210</v>
      </c>
      <c r="D11" s="23" t="s">
        <v>216</v>
      </c>
      <c r="E11" s="25" t="s">
        <v>217</v>
      </c>
      <c r="F11" s="22">
        <v>3.0</v>
      </c>
      <c r="G11" s="23" t="s">
        <v>218</v>
      </c>
      <c r="H11" s="21" t="s">
        <v>165</v>
      </c>
      <c r="I11" s="25">
        <v>1.0</v>
      </c>
      <c r="J11" s="25">
        <v>1.0</v>
      </c>
      <c r="K11" s="26">
        <v>1.0</v>
      </c>
    </row>
    <row r="12" ht="52.5" customHeight="1">
      <c r="A12" s="27" t="str">
        <f t="shared" si="1"/>
        <v>INICIATIVAS ADICIONALES</v>
      </c>
      <c r="B12" s="28" t="s">
        <v>30</v>
      </c>
      <c r="C12" s="32" t="s">
        <v>210</v>
      </c>
      <c r="D12" s="23" t="s">
        <v>219</v>
      </c>
      <c r="E12" s="25" t="s">
        <v>220</v>
      </c>
      <c r="F12" s="29">
        <v>1.0</v>
      </c>
      <c r="G12" s="23" t="s">
        <v>161</v>
      </c>
      <c r="H12" s="46" t="s">
        <v>165</v>
      </c>
      <c r="I12" s="25">
        <v>0.0</v>
      </c>
      <c r="J12" s="25">
        <v>1.0</v>
      </c>
      <c r="K12" s="26">
        <v>0.0</v>
      </c>
    </row>
    <row r="13" ht="52.5" customHeight="1">
      <c r="A13" s="27" t="str">
        <f t="shared" si="1"/>
        <v>INICIATIVAS ADICIONALES</v>
      </c>
      <c r="B13" s="28" t="s">
        <v>34</v>
      </c>
      <c r="C13" s="32" t="s">
        <v>210</v>
      </c>
      <c r="D13" s="23" t="s">
        <v>221</v>
      </c>
      <c r="E13" s="47" t="s">
        <v>123</v>
      </c>
      <c r="F13" s="22">
        <v>3.0</v>
      </c>
      <c r="G13" s="48" t="s">
        <v>124</v>
      </c>
      <c r="H13" s="21" t="s">
        <v>113</v>
      </c>
      <c r="I13" s="25">
        <v>1.0</v>
      </c>
      <c r="J13" s="25">
        <v>1.0</v>
      </c>
      <c r="K13" s="26">
        <v>1.0</v>
      </c>
    </row>
    <row r="14" ht="52.5" customHeight="1">
      <c r="A14" s="27" t="str">
        <f t="shared" si="1"/>
        <v>INICIATIVAS ADICIONALES</v>
      </c>
      <c r="B14" s="28" t="s">
        <v>39</v>
      </c>
      <c r="C14" s="32" t="s">
        <v>222</v>
      </c>
      <c r="D14" s="49" t="s">
        <v>223</v>
      </c>
      <c r="E14" s="25" t="s">
        <v>220</v>
      </c>
      <c r="F14" s="22">
        <v>1.0</v>
      </c>
      <c r="G14" s="23" t="s">
        <v>161</v>
      </c>
      <c r="H14" s="46" t="s">
        <v>224</v>
      </c>
      <c r="I14" s="25">
        <v>0.0</v>
      </c>
      <c r="J14" s="25">
        <v>1.0</v>
      </c>
      <c r="K14" s="26">
        <v>0.0</v>
      </c>
    </row>
    <row r="15" ht="52.5" customHeight="1">
      <c r="A15" s="27" t="str">
        <f t="shared" si="1"/>
        <v>INICIATIVAS ADICIONALES</v>
      </c>
      <c r="B15" s="28" t="s">
        <v>43</v>
      </c>
      <c r="C15" s="32" t="s">
        <v>222</v>
      </c>
      <c r="D15" s="23" t="s">
        <v>225</v>
      </c>
      <c r="E15" s="25" t="s">
        <v>226</v>
      </c>
      <c r="F15" s="22">
        <v>1.0</v>
      </c>
      <c r="G15" s="23" t="s">
        <v>227</v>
      </c>
      <c r="H15" s="46" t="s">
        <v>224</v>
      </c>
      <c r="I15" s="25">
        <v>0.0</v>
      </c>
      <c r="J15" s="25">
        <v>0.0</v>
      </c>
      <c r="K15" s="26">
        <v>1.0</v>
      </c>
    </row>
    <row r="16" ht="52.5" customHeight="1">
      <c r="A16" s="27" t="str">
        <f t="shared" si="1"/>
        <v>INICIATIVAS ADICIONALES</v>
      </c>
      <c r="B16" s="28" t="s">
        <v>75</v>
      </c>
      <c r="C16" s="32" t="s">
        <v>222</v>
      </c>
      <c r="D16" s="23" t="s">
        <v>228</v>
      </c>
      <c r="E16" s="25" t="s">
        <v>229</v>
      </c>
      <c r="F16" s="29">
        <v>1.0</v>
      </c>
      <c r="G16" s="23" t="s">
        <v>230</v>
      </c>
      <c r="H16" s="21" t="s">
        <v>231</v>
      </c>
      <c r="I16" s="25">
        <v>0.0</v>
      </c>
      <c r="J16" s="25">
        <v>0.0</v>
      </c>
      <c r="K16" s="26">
        <v>1.0</v>
      </c>
    </row>
    <row r="17" ht="15.75" customHeight="1"/>
  </sheetData>
  <autoFilter ref="$A$8:$L$16"/>
  <customSheetViews>
    <customSheetView guid="{3E260C3F-5F48-47E8-9319-1A3916EEB783}" filter="1" showAutoFilter="1">
      <autoFilter ref="$C$8:$K$16"/>
    </customSheetView>
  </customSheetViews>
  <mergeCells count="2">
    <mergeCell ref="B2:K6"/>
    <mergeCell ref="B7:K7"/>
  </mergeCells>
  <printOptions gridLines="1" horizontalCentered="1"/>
  <pageMargins bottom="0.75" footer="0.0" header="0.0" left="0.7" right="0.7" top="0.75"/>
  <pageSetup fitToHeight="0" cellComments="atEnd"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8.0" topLeftCell="A9" activePane="bottomLeft" state="frozen"/>
      <selection activeCell="B10" sqref="B10" pane="bottomLeft"/>
    </sheetView>
  </sheetViews>
  <sheetFormatPr customHeight="1" defaultColWidth="14.43" defaultRowHeight="15.0"/>
  <cols>
    <col customWidth="1" min="1" max="1" width="3.14"/>
    <col customWidth="1" min="2" max="2" width="8.0"/>
    <col customWidth="1" min="3" max="4" width="28.43"/>
    <col customWidth="1" min="5" max="5" width="23.86"/>
    <col customWidth="1" min="6" max="6" width="23.29"/>
    <col customWidth="1" min="7" max="8" width="12.29"/>
    <col customWidth="1" min="9" max="9" width="27.0"/>
    <col customWidth="1" min="10" max="10" width="22.14"/>
    <col customWidth="1" min="11" max="11" width="3.14"/>
  </cols>
  <sheetData>
    <row r="1" ht="12.75" customHeight="1">
      <c r="A1" s="1"/>
      <c r="B1" s="2"/>
      <c r="C1" s="2"/>
      <c r="D1" s="2"/>
      <c r="E1" s="2"/>
      <c r="F1" s="2"/>
      <c r="G1" s="2"/>
      <c r="H1" s="2"/>
      <c r="I1" s="2"/>
      <c r="J1" s="2"/>
    </row>
    <row r="2">
      <c r="A2" s="1"/>
      <c r="B2" s="3" t="s">
        <v>232</v>
      </c>
      <c r="C2" s="4"/>
      <c r="D2" s="4"/>
      <c r="E2" s="4"/>
      <c r="F2" s="4"/>
      <c r="G2" s="4"/>
      <c r="H2" s="4"/>
      <c r="I2" s="4"/>
      <c r="J2" s="5"/>
    </row>
    <row r="3" ht="23.25" customHeight="1">
      <c r="A3" s="1"/>
      <c r="B3" s="6"/>
      <c r="J3" s="7"/>
    </row>
    <row r="4" ht="20.25" customHeight="1">
      <c r="A4" s="1"/>
      <c r="B4" s="6"/>
      <c r="J4" s="7"/>
    </row>
    <row r="5">
      <c r="A5" s="1"/>
      <c r="B5" s="6"/>
      <c r="J5" s="7"/>
    </row>
    <row r="6" ht="13.5" customHeight="1">
      <c r="A6" s="1"/>
      <c r="B6" s="8"/>
      <c r="C6" s="9"/>
      <c r="D6" s="9"/>
      <c r="E6" s="9"/>
      <c r="F6" s="9"/>
      <c r="G6" s="9"/>
      <c r="H6" s="9"/>
      <c r="I6" s="9"/>
      <c r="J6" s="10"/>
    </row>
    <row r="7" ht="30.0" customHeight="1">
      <c r="A7" s="1"/>
      <c r="B7" s="11" t="s">
        <v>233</v>
      </c>
      <c r="C7" s="4"/>
      <c r="D7" s="4"/>
      <c r="E7" s="4"/>
      <c r="F7" s="4"/>
      <c r="G7" s="4"/>
      <c r="H7" s="4"/>
      <c r="I7" s="4"/>
      <c r="J7" s="5"/>
    </row>
    <row r="8" ht="30.0" customHeight="1">
      <c r="A8" s="1"/>
      <c r="B8" s="12" t="s">
        <v>2</v>
      </c>
      <c r="C8" s="13" t="s">
        <v>234</v>
      </c>
      <c r="D8" s="13" t="s">
        <v>235</v>
      </c>
      <c r="E8" s="14" t="s">
        <v>236</v>
      </c>
      <c r="F8" s="14" t="s">
        <v>237</v>
      </c>
      <c r="G8" s="50" t="s">
        <v>238</v>
      </c>
      <c r="H8" s="14" t="s">
        <v>239</v>
      </c>
      <c r="I8" s="14" t="s">
        <v>240</v>
      </c>
      <c r="J8" s="15" t="s">
        <v>241</v>
      </c>
    </row>
    <row r="9" ht="67.5" customHeight="1">
      <c r="A9" s="16"/>
      <c r="B9" s="28" t="s">
        <v>14</v>
      </c>
      <c r="C9" s="32" t="s">
        <v>242</v>
      </c>
      <c r="D9" s="32" t="s">
        <v>243</v>
      </c>
      <c r="E9" s="32" t="s">
        <v>244</v>
      </c>
      <c r="F9" s="32" t="s">
        <v>245</v>
      </c>
      <c r="G9" s="51">
        <v>44621.0</v>
      </c>
      <c r="H9" s="52">
        <v>44895.0</v>
      </c>
      <c r="I9" s="32" t="s">
        <v>246</v>
      </c>
      <c r="J9" s="53" t="s">
        <v>247</v>
      </c>
    </row>
    <row r="10" ht="67.5" customHeight="1">
      <c r="A10" s="16"/>
      <c r="B10" s="28" t="s">
        <v>20</v>
      </c>
      <c r="C10" s="32" t="s">
        <v>248</v>
      </c>
      <c r="D10" s="32" t="s">
        <v>249</v>
      </c>
      <c r="E10" s="32" t="s">
        <v>244</v>
      </c>
      <c r="F10" s="32" t="s">
        <v>250</v>
      </c>
      <c r="G10" s="51">
        <v>44621.0</v>
      </c>
      <c r="H10" s="52">
        <v>44895.0</v>
      </c>
      <c r="I10" s="32" t="s">
        <v>251</v>
      </c>
      <c r="J10" s="53" t="s">
        <v>247</v>
      </c>
    </row>
    <row r="11" ht="67.5" customHeight="1">
      <c r="A11" s="16"/>
      <c r="B11" s="28" t="s">
        <v>26</v>
      </c>
      <c r="C11" s="32" t="s">
        <v>252</v>
      </c>
      <c r="D11" s="32" t="s">
        <v>253</v>
      </c>
      <c r="E11" s="32" t="s">
        <v>244</v>
      </c>
      <c r="F11" s="32" t="s">
        <v>254</v>
      </c>
      <c r="G11" s="51">
        <v>44621.0</v>
      </c>
      <c r="H11" s="52">
        <v>44895.0</v>
      </c>
      <c r="I11" s="32" t="s">
        <v>255</v>
      </c>
      <c r="J11" s="53" t="s">
        <v>247</v>
      </c>
    </row>
    <row r="12" ht="67.5" customHeight="1">
      <c r="A12" s="16"/>
      <c r="B12" s="28" t="s">
        <v>30</v>
      </c>
      <c r="C12" s="32" t="s">
        <v>256</v>
      </c>
      <c r="D12" s="32" t="s">
        <v>257</v>
      </c>
      <c r="E12" s="32" t="s">
        <v>244</v>
      </c>
      <c r="F12" s="32" t="s">
        <v>258</v>
      </c>
      <c r="G12" s="51">
        <v>44621.0</v>
      </c>
      <c r="H12" s="52">
        <v>44895.0</v>
      </c>
      <c r="I12" s="32" t="s">
        <v>259</v>
      </c>
      <c r="J12" s="53" t="s">
        <v>247</v>
      </c>
    </row>
    <row r="13" ht="67.5" customHeight="1">
      <c r="A13" s="16"/>
      <c r="B13" s="54" t="s">
        <v>34</v>
      </c>
      <c r="C13" s="55" t="s">
        <v>260</v>
      </c>
      <c r="D13" s="55" t="s">
        <v>257</v>
      </c>
      <c r="E13" s="55" t="s">
        <v>244</v>
      </c>
      <c r="F13" s="55" t="s">
        <v>261</v>
      </c>
      <c r="G13" s="56">
        <v>44621.0</v>
      </c>
      <c r="H13" s="57">
        <v>44895.0</v>
      </c>
      <c r="I13" s="55" t="s">
        <v>262</v>
      </c>
      <c r="J13" s="58" t="s">
        <v>247</v>
      </c>
    </row>
    <row r="14" ht="15.75" customHeight="1">
      <c r="A14" s="16"/>
      <c r="B14" s="16"/>
      <c r="C14" s="59"/>
      <c r="D14" s="59"/>
      <c r="E14" s="59"/>
      <c r="F14" s="59"/>
      <c r="G14" s="60"/>
      <c r="H14" s="61"/>
      <c r="I14" s="59"/>
      <c r="J14" s="59"/>
    </row>
  </sheetData>
  <autoFilter ref="$A$8:$K$13"/>
  <customSheetViews>
    <customSheetView guid="{3E260C3F-5F48-47E8-9319-1A3916EEB783}" filter="1" showAutoFilter="1">
      <autoFilter ref="$C$8:$J$13"/>
    </customSheetView>
  </customSheetViews>
  <mergeCells count="2">
    <mergeCell ref="B2:J6"/>
    <mergeCell ref="B7:J7"/>
  </mergeCells>
  <printOptions gridLines="1" horizontalCentered="1"/>
  <pageMargins bottom="0.75" footer="0.0" header="0.0" left="0.7" right="0.7" top="0.75"/>
  <pageSetup fitToHeight="0" cellComments="atEnd" orientation="portrait" pageOrder="overThenDown"/>
  <drawing r:id="rId1"/>
</worksheet>
</file>