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Tablero" sheetId="1" r:id="rId4"/>
    <sheet state="hidden" name="Datos" sheetId="2" r:id="rId5"/>
    <sheet state="visible" name="Home" sheetId="3" r:id="rId6"/>
    <sheet state="visible" name="Consolidado" sheetId="4" r:id="rId7"/>
    <sheet state="visible" name="Adm_y_Aten_Ciu" sheetId="5" r:id="rId8"/>
    <sheet state="visible" name="Comunicaciones" sheetId="6" r:id="rId9"/>
    <sheet state="visible" name="Contratos" sheetId="7" r:id="rId10"/>
    <sheet state="visible" name="C_Interno" sheetId="8" r:id="rId11"/>
    <sheet state="visible" name="CI_Disciplinario" sheetId="9" r:id="rId12"/>
    <sheet state="visible" name="DTAF" sheetId="10" r:id="rId13"/>
    <sheet state="visible" name="DTIV" sheetId="11" r:id="rId14"/>
    <sheet state="visible" name="Financiera" sheetId="12" r:id="rId15"/>
    <sheet state="visible" name="G_Documental" sheetId="13" r:id="rId16"/>
    <sheet state="visible" name="OA_Juridica" sheetId="14" r:id="rId17"/>
    <sheet state="visible" name="OGCI" sheetId="15" r:id="rId18"/>
    <sheet state="visible" name="Planeacion" sheetId="16" r:id="rId19"/>
    <sheet state="visible" name="Sistemas" sheetId="17" r:id="rId20"/>
    <sheet state="visible" name="T_Humano" sheetId="18" r:id="rId21"/>
    <sheet state="visible" name="R_Barrancabermeja" sheetId="19" r:id="rId22"/>
    <sheet state="visible" name="R_Barranquilla" sheetId="20" r:id="rId23"/>
    <sheet state="visible" name="R_Bogota" sheetId="21" r:id="rId24"/>
    <sheet state="visible" name="R_Cali" sheetId="22" r:id="rId25"/>
    <sheet state="visible" name="R_Magangue" sheetId="23" r:id="rId26"/>
    <sheet state="visible" name="R_Medellin" sheetId="24" r:id="rId27"/>
    <sheet state="visible" name="R_Villavicencio" sheetId="25" r:id="rId28"/>
  </sheets>
  <definedNames>
    <definedName name="L_Proy">Datos!$B$2:$B$6</definedName>
    <definedName name="L_Ind_Tipo">Datos!$AJ$2:$AJ$4</definedName>
    <definedName name="l_ODS">Datos!$AO$2:$AO$18</definedName>
    <definedName name="l_Clas">Datos!$AK$2:$AK$15</definedName>
    <definedName name="l_Soli">Datos!$AQ$2:$AQ$6</definedName>
    <definedName name="L_Prod">Datos!$K$2:$K$22</definedName>
    <definedName name="R_Proy__ObjEsp">Datos!$G$2:$I$6</definedName>
    <definedName name="L_Uni">Datos!$AT$2:$AT$4</definedName>
    <definedName name="l_Poli">Datos!$AN$2:$AN$21</definedName>
    <definedName name="l_Dim">Datos!$AM$2:$AM$8</definedName>
    <definedName name="R_Ind_Gest">Tablero!$A$2:$O$22</definedName>
    <definedName name="R_ObjEsp__Prod">Datos!$T$2:$W$13</definedName>
    <definedName name="R_Pro__Act">Datos!$L$2:$Q$22</definedName>
    <definedName name="L_Proc">Datos!$AR$2:$AR$18</definedName>
    <definedName name="L_Cat">Datos!$AS$2:$AS$6</definedName>
    <definedName name="R_Inf_Proy">Datos!$B$2:$E$6</definedName>
    <definedName name="L_Area">Datos!$AB$2:$AB$27</definedName>
    <definedName name="L_Ind_Peri">Datos!$AA$2:$AA$7</definedName>
    <definedName name="L_ObjEsp">Datos!$S$2:$S$13</definedName>
    <definedName name="l_Est">Datos!$AP$2:$AP$5</definedName>
    <definedName name="l_ObjIns">Datos!$AL$2:$AL$4</definedName>
    <definedName name="L_Dere">Datos!$AU$2:$AU$32</definedName>
    <definedName name="R_Ind_Prod">Tablero!$E$2:$J$22</definedName>
    <definedName hidden="1" localSheetId="0" name="_xlnm._FilterDatabase">Tablero!$A$1:$P$23</definedName>
    <definedName hidden="1" localSheetId="4" name="Z_53D55F53_C764_4421_A3EC_48DE59138C30_.wvu.FilterData">Adm_y_Aten_Ciu!$D$2:$BF$102</definedName>
    <definedName hidden="1" localSheetId="5" name="Z_53D55F53_C764_4421_A3EC_48DE59138C30_.wvu.FilterData">Comunicaciones!$D$2:$BF$101</definedName>
    <definedName hidden="1" localSheetId="6" name="Z_53D55F53_C764_4421_A3EC_48DE59138C30_.wvu.FilterData">Contratos!$D$2:$BF$102</definedName>
    <definedName hidden="1" localSheetId="7" name="Z_53D55F53_C764_4421_A3EC_48DE59138C30_.wvu.FilterData">C_Interno!$D$2:$BF$102</definedName>
    <definedName hidden="1" localSheetId="8" name="Z_53D55F53_C764_4421_A3EC_48DE59138C30_.wvu.FilterData">CI_Disciplinario!$D$2:$BF$102</definedName>
    <definedName hidden="1" localSheetId="9" name="Z_53D55F53_C764_4421_A3EC_48DE59138C30_.wvu.FilterData">DTAF!$D$2:$BF$103</definedName>
    <definedName hidden="1" localSheetId="10" name="Z_53D55F53_C764_4421_A3EC_48DE59138C30_.wvu.FilterData">DTIV!$D$2:$BF$102</definedName>
    <definedName hidden="1" localSheetId="11" name="Z_53D55F53_C764_4421_A3EC_48DE59138C30_.wvu.FilterData">Financiera!$D$2:$BF$102</definedName>
    <definedName hidden="1" localSheetId="12" name="Z_53D55F53_C764_4421_A3EC_48DE59138C30_.wvu.FilterData">G_Documental!$D$2:$BF$102</definedName>
    <definedName hidden="1" localSheetId="13" name="Z_53D55F53_C764_4421_A3EC_48DE59138C30_.wvu.FilterData">OA_Juridica!$D$2:$BF$102</definedName>
    <definedName hidden="1" localSheetId="14" name="Z_53D55F53_C764_4421_A3EC_48DE59138C30_.wvu.FilterData">OGCI!$D$2:$BF$101</definedName>
    <definedName hidden="1" localSheetId="15" name="Z_53D55F53_C764_4421_A3EC_48DE59138C30_.wvu.FilterData">Planeacion!$D$2:$BF$102</definedName>
    <definedName hidden="1" localSheetId="16" name="Z_53D55F53_C764_4421_A3EC_48DE59138C30_.wvu.FilterData">Sistemas!$D$2:$BF$102</definedName>
    <definedName hidden="1" localSheetId="17" name="Z_53D55F53_C764_4421_A3EC_48DE59138C30_.wvu.FilterData">T_Humano!$D$2:$BF$102</definedName>
    <definedName hidden="1" localSheetId="18" name="Z_53D55F53_C764_4421_A3EC_48DE59138C30_.wvu.FilterData">R_Barrancabermeja!$D$2:$BF$101</definedName>
    <definedName hidden="1" localSheetId="19" name="Z_53D55F53_C764_4421_A3EC_48DE59138C30_.wvu.FilterData">R_Barranquilla!$D$2:$BF$78</definedName>
    <definedName hidden="1" localSheetId="20" name="Z_53D55F53_C764_4421_A3EC_48DE59138C30_.wvu.FilterData">R_Bogota!$D$2:$BF$102</definedName>
    <definedName hidden="1" localSheetId="21" name="Z_53D55F53_C764_4421_A3EC_48DE59138C30_.wvu.FilterData">R_Cali!$D$2:$BF$101</definedName>
    <definedName hidden="1" localSheetId="22" name="Z_53D55F53_C764_4421_A3EC_48DE59138C30_.wvu.FilterData">R_Magangue!$D$2:$BF$101</definedName>
    <definedName hidden="1" localSheetId="23" name="Z_53D55F53_C764_4421_A3EC_48DE59138C30_.wvu.FilterData">R_Medellin!$D$2:$BF$102</definedName>
    <definedName hidden="1" localSheetId="24" name="Z_53D55F53_C764_4421_A3EC_48DE59138C30_.wvu.FilterData">R_Villavicencio!$D$2:$BF$102</definedName>
  </definedNames>
  <calcPr/>
  <customWorkbookViews>
    <customWorkbookView activeSheetId="0" maximized="1" windowHeight="0" windowWidth="0" guid="{53D55F53-C764-4421-A3EC-48DE59138C30}" name="Filtro 1"/>
  </customWorkbookViews>
</workbook>
</file>

<file path=xl/sharedStrings.xml><?xml version="1.0" encoding="utf-8"?>
<sst xmlns="http://schemas.openxmlformats.org/spreadsheetml/2006/main" count="6248" uniqueCount="948">
  <si>
    <t>ROLES/NECESIDAD</t>
  </si>
  <si>
    <t>PROYECTO</t>
  </si>
  <si>
    <t>CÓDIGO BPIN</t>
  </si>
  <si>
    <t>NOMBRE CORTO</t>
  </si>
  <si>
    <t>CÓDIGO PRESUPUESTAL</t>
  </si>
  <si>
    <t>Obj Esp</t>
  </si>
  <si>
    <t>PRODUCTO</t>
  </si>
  <si>
    <t>OBJETIVO ESPECÍFICO</t>
  </si>
  <si>
    <t>TIPO DE SOLICITUD</t>
  </si>
  <si>
    <t>NIVEL</t>
  </si>
  <si>
    <t>PERIODICIDAD</t>
  </si>
  <si>
    <t>ÁREA</t>
  </si>
  <si>
    <t>Código</t>
  </si>
  <si>
    <t>NOMBRE DEPENDENCIA</t>
  </si>
  <si>
    <t>OFICINAS SATÉLITE</t>
  </si>
  <si>
    <t>TIEMPO</t>
  </si>
  <si>
    <t>MESES</t>
  </si>
  <si>
    <t>TIPO INDICADOR</t>
  </si>
  <si>
    <t>CLASIFICACIÓN POR PLAN</t>
  </si>
  <si>
    <t>OBJETIVO INSTITUCIONAL</t>
  </si>
  <si>
    <t>DIMENSIONES DEL MIPG</t>
  </si>
  <si>
    <t>POLÍTICAS DE GESTIÓN Y DESEMPEÑO INSTITUCIONAL</t>
  </si>
  <si>
    <t>OBJETIVO DE DESARROLLO SOSTENIBLE</t>
  </si>
  <si>
    <t>ESTADO</t>
  </si>
  <si>
    <t>SOLICITUD</t>
  </si>
  <si>
    <t>PROCESO ASOCIADO</t>
  </si>
  <si>
    <t>CATEGORÍA</t>
  </si>
  <si>
    <t>UNIDAD DE MEDIDA</t>
  </si>
  <si>
    <t>Derechos</t>
  </si>
  <si>
    <t>Arriendo</t>
  </si>
  <si>
    <t>Desarrollo de las actividades de inspección y vigilancia para el mejoramiento del ejercicio de la actividad pesquera y la acuicultura a nivel nacional</t>
  </si>
  <si>
    <t>Inspección</t>
  </si>
  <si>
    <t>C-1707-1100-4</t>
  </si>
  <si>
    <t>Fortalecer los mecanismos de seguimiento y control de la actividad pesquera y de la acuicultura.</t>
  </si>
  <si>
    <t>Aumentar el conocimiento de la normatividad pesquera y de la acuicultura por parte de la comunidad.</t>
  </si>
  <si>
    <t>Servicio de inspección, vigilancia y control de la pesca y la acuicultura</t>
  </si>
  <si>
    <t>Realizar seguimiento y actualización al registro general de pesca.</t>
  </si>
  <si>
    <t>Adelantar las investigaciones administrativas por infracciones al estatuto general de pesca.</t>
  </si>
  <si>
    <t>Mejorar los procesos y procedimientos del área.</t>
  </si>
  <si>
    <t>Participar en la elaboración de las medidas de ordenación y control.</t>
  </si>
  <si>
    <t>Realizar los operativos de inspección, vigilancia y control.</t>
  </si>
  <si>
    <t>Realizar seguimiento a los procesos y procedimientos del área.</t>
  </si>
  <si>
    <t>Personal</t>
  </si>
  <si>
    <t>Especializado</t>
  </si>
  <si>
    <t>Anual</t>
  </si>
  <si>
    <t>Administrativa y Atención a la Ciudadanía</t>
  </si>
  <si>
    <t>1715-00-000</t>
  </si>
  <si>
    <t>Sede principal</t>
  </si>
  <si>
    <t>1715-00-000-01</t>
  </si>
  <si>
    <t>Arauca</t>
  </si>
  <si>
    <t>Enero</t>
  </si>
  <si>
    <t>Gestión del proyecto</t>
  </si>
  <si>
    <t>Plan Institucional de Archivos de la Entidad -PINAR</t>
  </si>
  <si>
    <t>Hacer ordenación de la actividad pesquera a nivel nacional fomentando la legalidad de la actividad pesquera y acuícola</t>
  </si>
  <si>
    <t>Talento Humano</t>
  </si>
  <si>
    <t>Control Interno</t>
  </si>
  <si>
    <t>1. Fin de la pobreza</t>
  </si>
  <si>
    <t>Aprobado</t>
  </si>
  <si>
    <t>Plan de Acción 2021</t>
  </si>
  <si>
    <t>Gestión de la información y generación del conocimiento</t>
  </si>
  <si>
    <t>Eficacia</t>
  </si>
  <si>
    <t>Número</t>
  </si>
  <si>
    <t>Alimentación</t>
  </si>
  <si>
    <t>Jurídico</t>
  </si>
  <si>
    <t>Fortalecimiento de la sostenibilidad del sector pesquero y de la acuicultura en el territorio nacional</t>
  </si>
  <si>
    <t>Sostenibilidad</t>
  </si>
  <si>
    <t>C-1707-1100-5</t>
  </si>
  <si>
    <t>Mejorar la explotación de los recursos pesqueros y de la acuicultura.</t>
  </si>
  <si>
    <t>Mejorar las prácticas de pesca y de acuicultura.</t>
  </si>
  <si>
    <t>Servicio de divulgación y socialización</t>
  </si>
  <si>
    <t>Implementar las estrategias de socialización y Divulgación a la comunidad</t>
  </si>
  <si>
    <t>Realizar la evaluación de las estrategias en la comunidad</t>
  </si>
  <si>
    <t>Diseñar la estrategia de socialización y Divulgación a la comunidad</t>
  </si>
  <si>
    <t>Operación</t>
  </si>
  <si>
    <t>Profesional</t>
  </si>
  <si>
    <t>Semestral</t>
  </si>
  <si>
    <t>Comunicaciones</t>
  </si>
  <si>
    <t>1715-00-001</t>
  </si>
  <si>
    <t>Planeación</t>
  </si>
  <si>
    <t>1715-00-000-02</t>
  </si>
  <si>
    <t>Bahia solano</t>
  </si>
  <si>
    <t>Febrero</t>
  </si>
  <si>
    <t>Producto del proyecto</t>
  </si>
  <si>
    <t>Plan Anual de Adquisiciones - PAA</t>
  </si>
  <si>
    <t>Llegar con actividades de pesca y acuicultura a todas las regiones</t>
  </si>
  <si>
    <t>Direccionamiento Estratégico</t>
  </si>
  <si>
    <t>Defensa Jurídica</t>
  </si>
  <si>
    <t>2. Hambre cero</t>
  </si>
  <si>
    <t>Modificado</t>
  </si>
  <si>
    <t>Modificar</t>
  </si>
  <si>
    <t>Gestión de la administración y fomento</t>
  </si>
  <si>
    <t>Eficiencia</t>
  </si>
  <si>
    <t>Porcentaje</t>
  </si>
  <si>
    <t>Ambiente sano</t>
  </si>
  <si>
    <t>Financiero</t>
  </si>
  <si>
    <t>Fortalecimiento del servicio estadístico pesquero colombiano a nivel nacional</t>
  </si>
  <si>
    <t>Sepec</t>
  </si>
  <si>
    <t>C-1708-1100-4</t>
  </si>
  <si>
    <t>Fortalecer los mecanismos de recolección y análisis de la información estadística de la actividad pesquera y de la acuicultura.</t>
  </si>
  <si>
    <t>Fortalecer el proceso de sistematización de la información estadística de la actividad pesquera y de la acuicultura.</t>
  </si>
  <si>
    <t>Servicio de ordenación pesquera y de la acuicultura</t>
  </si>
  <si>
    <t>Realizar seguimiento a los acuerdos de ordenación</t>
  </si>
  <si>
    <t>Generar acuerdos de ordenación de la actividad pesquera y de la acuicultura.</t>
  </si>
  <si>
    <t>Servicios de administración de los recurso pesqueros y de la acuicultura</t>
  </si>
  <si>
    <t>Inversión-Misional</t>
  </si>
  <si>
    <t>Técnico</t>
  </si>
  <si>
    <t>Cuatrimestral</t>
  </si>
  <si>
    <t>Contratos</t>
  </si>
  <si>
    <t>1715-00-002</t>
  </si>
  <si>
    <t>1715-00-000-03</t>
  </si>
  <si>
    <t>Bajo baudo pizarro</t>
  </si>
  <si>
    <t>Marzo</t>
  </si>
  <si>
    <t>Gestión del área</t>
  </si>
  <si>
    <t>Plan Anual de Vacantes</t>
  </si>
  <si>
    <t>Propiciar la formalización de la pesca y la acuicultura</t>
  </si>
  <si>
    <t>Gestión con valores para resultados</t>
  </si>
  <si>
    <t>Fortalecimiento Organizacional y Simplificación de Procesos</t>
  </si>
  <si>
    <t>3. Salud y bienestar</t>
  </si>
  <si>
    <t>Eliminado</t>
  </si>
  <si>
    <t>Eliminar</t>
  </si>
  <si>
    <t>Gestión de la inspección y vigilancia</t>
  </si>
  <si>
    <t>Efectividad</t>
  </si>
  <si>
    <t>Buen nombre</t>
  </si>
  <si>
    <t>Calidad</t>
  </si>
  <si>
    <t>Desarrollo de actividades de investigación para la generación de conocimiento científico, técnico, social y económico de la pesca y la acuicultura a nivel nacional</t>
  </si>
  <si>
    <t>Investigación</t>
  </si>
  <si>
    <t>C-1708-1100-5</t>
  </si>
  <si>
    <t>Aumentar el desarrollo de la acuicultura asociado a la optimización de los procesos productivos.</t>
  </si>
  <si>
    <t>Fortalecer la generación de insumos de planificación pesquera y de la acuicultura</t>
  </si>
  <si>
    <t>Incrementar el conocimiento científico y técnico del estado de los recursos pesqueros y de la actividad pesquera</t>
  </si>
  <si>
    <t>Regular el manejo y el ejercicio de la actividad pesquera y de la acuicultura.</t>
  </si>
  <si>
    <t>Realizar acciones de divulgación y formalización de la actividad pesquera y de la acuicultura.</t>
  </si>
  <si>
    <t>1-Servicios de apoyo a las estaciones de acuicultura</t>
  </si>
  <si>
    <t>2-Servicios de apoyo a las estaciones de acuicultura</t>
  </si>
  <si>
    <t>3-Servicios de apoyo a las estaciones de acuicultura</t>
  </si>
  <si>
    <t>Servicios de apoyo al fomento de la pesca y la acuicultura</t>
  </si>
  <si>
    <t>Auxiliar</t>
  </si>
  <si>
    <t>Trimestral</t>
  </si>
  <si>
    <t>1715-00-003</t>
  </si>
  <si>
    <t>1715-00-000-04</t>
  </si>
  <si>
    <t>Barrancabermeja</t>
  </si>
  <si>
    <t>Abril</t>
  </si>
  <si>
    <t>Plan de Previsión de Recursos Humanos</t>
  </si>
  <si>
    <t>Evaluación de Resultados</t>
  </si>
  <si>
    <t>Gestión de la Información Estadística</t>
  </si>
  <si>
    <t>4. Educación de calidad</t>
  </si>
  <si>
    <t>Adicionar</t>
  </si>
  <si>
    <t>Comunicación estratégica</t>
  </si>
  <si>
    <t>Circular libremente por el territorio nacional</t>
  </si>
  <si>
    <t>Apoyo Administrativo</t>
  </si>
  <si>
    <t>Fortalecimiento de la capacidad de gestión de la autoridad nacional de acuicultura y pesca - aunap nacional</t>
  </si>
  <si>
    <t>Fortalecimiento</t>
  </si>
  <si>
    <t>C-1799-1100-2</t>
  </si>
  <si>
    <t>Fortalecer los sistemas de gestión de la Entidad</t>
  </si>
  <si>
    <t>Mejorar las condiciones en la infraestructura física de las sedes de la AUNAP</t>
  </si>
  <si>
    <t>Fortalecer la Infraestructura Tecnológica de la entidad</t>
  </si>
  <si>
    <t>Desarrollar acciones de extensión rural a través de las estaciones de acuicultura</t>
  </si>
  <si>
    <t>Producir alevinos para el sector productivo y/o con fines de repoblamiento.</t>
  </si>
  <si>
    <t>_Servicio de análisis de Información para la planificación pesquera y de la acuicultura</t>
  </si>
  <si>
    <t>Servicio de gestión de información para la planificación pesquera y de la acuicultura</t>
  </si>
  <si>
    <t>Bachiller</t>
  </si>
  <si>
    <t>Bimestral</t>
  </si>
  <si>
    <t>Control Interno Disciplinario</t>
  </si>
  <si>
    <t>1715-00-004</t>
  </si>
  <si>
    <t>Regional Bogotá</t>
  </si>
  <si>
    <t>1715-00-000-05</t>
  </si>
  <si>
    <t>Barranquilla</t>
  </si>
  <si>
    <t>Mayo</t>
  </si>
  <si>
    <t>Plan Estratégico de Talento Humano</t>
  </si>
  <si>
    <t>Información y comunicación</t>
  </si>
  <si>
    <t>Gestión del Conocimiento y la Innovación</t>
  </si>
  <si>
    <t>5. Igualdad de Género</t>
  </si>
  <si>
    <t>Atención al ciudadano</t>
  </si>
  <si>
    <t>Cultura</t>
  </si>
  <si>
    <t>Analista</t>
  </si>
  <si>
    <t>Funcionamiento</t>
  </si>
  <si>
    <t>A-</t>
  </si>
  <si>
    <t>Servicio de información actualizado</t>
  </si>
  <si>
    <t>Inversión</t>
  </si>
  <si>
    <t>Mensual</t>
  </si>
  <si>
    <t>Dirección General</t>
  </si>
  <si>
    <t>1715-00-005</t>
  </si>
  <si>
    <t>Regional Villavicencio</t>
  </si>
  <si>
    <t>1715-00-000-06</t>
  </si>
  <si>
    <t>Bolívar</t>
  </si>
  <si>
    <t>Junio</t>
  </si>
  <si>
    <t>Plan Institucional de Capacitación</t>
  </si>
  <si>
    <t>Gestión del conocimiento</t>
  </si>
  <si>
    <t>Gestión Documental</t>
  </si>
  <si>
    <t>6. Agua limpia y saneamiento</t>
  </si>
  <si>
    <t>Gestión del talento humano</t>
  </si>
  <si>
    <t>Debido Proceso</t>
  </si>
  <si>
    <t>Conductor</t>
  </si>
  <si>
    <t>Documentos de lineamientos técnicos</t>
  </si>
  <si>
    <t>Especies animales y vegetales mejoradas</t>
  </si>
  <si>
    <t>Dirección Técnica de Administración y Fomento</t>
  </si>
  <si>
    <t>Regional Barranquilla</t>
  </si>
  <si>
    <t>1715-00-000-07</t>
  </si>
  <si>
    <t>Bucaramanga</t>
  </si>
  <si>
    <t>Julio</t>
  </si>
  <si>
    <t>Plan de Incentivos Institucionales</t>
  </si>
  <si>
    <t>Gestión Estratégica del Talento Humano</t>
  </si>
  <si>
    <t>7. Energía asequible y no contaminante</t>
  </si>
  <si>
    <t>Gestión de contratación</t>
  </si>
  <si>
    <t>Educación</t>
  </si>
  <si>
    <t>Secretarial</t>
  </si>
  <si>
    <t>Generar acciones de fomento para la pesca, la acuicultura y sus actividades conexas.</t>
  </si>
  <si>
    <t>Generar estrategias de comercialización y consumo responsable de los productos de la pesca y la acuicultura</t>
  </si>
  <si>
    <t>Servicio de análisis de Información para la planificación pesquera y de la acuicultura</t>
  </si>
  <si>
    <t>Tecnólogo</t>
  </si>
  <si>
    <t>Dirección Técnica de Inspección y Vigilancia</t>
  </si>
  <si>
    <t>Regional Medellín</t>
  </si>
  <si>
    <t>1715-00-000-08</t>
  </si>
  <si>
    <t>Cali</t>
  </si>
  <si>
    <t>Agosto</t>
  </si>
  <si>
    <t>Plan de Trabajo Anual en Seguridad y Salud en el Trabajo PTASST</t>
  </si>
  <si>
    <t>Gestión Presupuestal y Eficiencia del Gasto Público</t>
  </si>
  <si>
    <t>8. Trabajo decente y crecimiento económico</t>
  </si>
  <si>
    <t>Direccionamiento estratégico</t>
  </si>
  <si>
    <t>Espacio Público</t>
  </si>
  <si>
    <t>Analizar la información de la caracterización socioeconómica de los pescadores y del personal de las granjas de acuicultura.</t>
  </si>
  <si>
    <t>Analizar la información estadística de la pesca y la acuicultura.</t>
  </si>
  <si>
    <t>Diseñar e implementar una estrategia de divulgación del SEPEC.</t>
  </si>
  <si>
    <t>Analizar información biológica – pesquera de los recursos pesqueros estratégicos.</t>
  </si>
  <si>
    <t>Documentos de investigación</t>
  </si>
  <si>
    <t>No aplica</t>
  </si>
  <si>
    <t>Financiera</t>
  </si>
  <si>
    <t>Regional Cali</t>
  </si>
  <si>
    <t>1715-00-000-09</t>
  </si>
  <si>
    <t>Cartagena</t>
  </si>
  <si>
    <t>Septiembre</t>
  </si>
  <si>
    <t>Plan Anticorrupción y de Atención al Ciudadano - PAAC</t>
  </si>
  <si>
    <t>Gobierno Digital</t>
  </si>
  <si>
    <t>9. Industria, innovación e infraestructura</t>
  </si>
  <si>
    <t>Evaluación Seguimiento y Control</t>
  </si>
  <si>
    <t>Honra</t>
  </si>
  <si>
    <t>Efectuar la caracterización socioeconómica de los pescadores y del personal de las granjas de acuicultura.</t>
  </si>
  <si>
    <t>Generar competencias en las comunidades de pescadores artesanales para la toma de información estadística pesquera.</t>
  </si>
  <si>
    <t>Realizar las encuestas estructurales de pesca y de acuicultura.</t>
  </si>
  <si>
    <t>Efectuar la recolección de la información biológica - pesquera de los recursos pesqueros estratégicos.</t>
  </si>
  <si>
    <t>Efectuar la recolección de la información estadística de la pesca y la acuicultura.</t>
  </si>
  <si>
    <t>Servicio de Educación Informal para la Gestión Administrativa</t>
  </si>
  <si>
    <t>Servicio de Gestión Documental</t>
  </si>
  <si>
    <t>Servicio de Implementación Sistemas de Gestión</t>
  </si>
  <si>
    <t>Regional Barrancabermeja</t>
  </si>
  <si>
    <t>1715-00-000-10</t>
  </si>
  <si>
    <t>Caucasia</t>
  </si>
  <si>
    <t>Octubre</t>
  </si>
  <si>
    <t>Plan Estratégico de Tecnologías de la Información y las Comunicaciones -PETIT</t>
  </si>
  <si>
    <t>Integridad</t>
  </si>
  <si>
    <t>10. Reducción de las desigualdades</t>
  </si>
  <si>
    <t>Gestión documental</t>
  </si>
  <si>
    <t>Información</t>
  </si>
  <si>
    <t>Viáticos</t>
  </si>
  <si>
    <t>Sistematizar la información estadística de la pesca y la acuicultura.</t>
  </si>
  <si>
    <t>Sistematizar la información biológica - pesquera de los recursos pesqueros estratégico.</t>
  </si>
  <si>
    <t>Sistematizar la caracterización socioeconómica de los pescadores y del personal de las granjas de acuicultura.</t>
  </si>
  <si>
    <t>Realizar mejoras en los módulos de los componentes implementados en el SEPEC.</t>
  </si>
  <si>
    <t>Sedes adecuadas</t>
  </si>
  <si>
    <t>Sedes mantenidas</t>
  </si>
  <si>
    <t>Oficina Asesora Jurídica</t>
  </si>
  <si>
    <t>Regional Magangué</t>
  </si>
  <si>
    <t>1715-00-002-01</t>
  </si>
  <si>
    <t>Cesar</t>
  </si>
  <si>
    <t>Noviembre</t>
  </si>
  <si>
    <t>Plan Estratégico de Seguridad de la Información - PESI</t>
  </si>
  <si>
    <t>Mejora Normativa</t>
  </si>
  <si>
    <t>11. Ciudades y comunidades sostenibles</t>
  </si>
  <si>
    <t>Gestión administrativa</t>
  </si>
  <si>
    <t>Integridad física</t>
  </si>
  <si>
    <t>Tiquetes</t>
  </si>
  <si>
    <t>Apoyar estudios de capacidad de carga en los cuerpos de agua con potencial acuícola</t>
  </si>
  <si>
    <t>Evaluar sistemas de producción y nuevas tecnologías en la acuicultura de especies nativas de consumo y ornamentales marinas y continentales</t>
  </si>
  <si>
    <t>Evaluación de la transformación de los productos y subproductos de la acuicultura</t>
  </si>
  <si>
    <t>Determinar las condiciones de bioecología, aclimatación, nutrición y alimentación, reproducción, larvicultura, alevinaje, engorde, patología, etc. en especies nativas y domesticadas de consumo y ornamentales, marinas y continentales</t>
  </si>
  <si>
    <t>Servicios tecnológicos</t>
  </si>
  <si>
    <t>Oficina de Generación del Conocimiento y la Información</t>
  </si>
  <si>
    <t>1715-00-002-02</t>
  </si>
  <si>
    <t>Ciénaga</t>
  </si>
  <si>
    <t>Diciembre</t>
  </si>
  <si>
    <t>Plan de Tratamiento de Riesgos de Seguridad y Privacidad de la Información</t>
  </si>
  <si>
    <t>Participación Ciudadana en la Gestión Pública</t>
  </si>
  <si>
    <t>12. Producción y consumo responsable</t>
  </si>
  <si>
    <t>Gestión jurídica</t>
  </si>
  <si>
    <t>Intimidad personal y familiar</t>
  </si>
  <si>
    <t>Nómina</t>
  </si>
  <si>
    <t>Obtener información para el mejoramiento genético de especies nativas con fines de cultivo y repoblamiento y especies exóticas domésticas con fines de cultivo</t>
  </si>
  <si>
    <t>Hacer evaluaciones de parámetros de producción de especies de peces nativas y exóticas</t>
  </si>
  <si>
    <t>1715-00-002-03</t>
  </si>
  <si>
    <t>Córdoba</t>
  </si>
  <si>
    <t>Plan de Participación Ciudadana</t>
  </si>
  <si>
    <t>Planeación Institucional</t>
  </si>
  <si>
    <t>13. Acción por el clima</t>
  </si>
  <si>
    <t>Gestión de control interno disciplinario</t>
  </si>
  <si>
    <t>Libertad</t>
  </si>
  <si>
    <t>Realizar la caracterización socioeconómica de pescadores artesanales, acuicultores continentales y marinos y otros eslabones de la cadena productiva con inclusión de género</t>
  </si>
  <si>
    <t>Recolectar información de la cadena productiva, relacionada con los procesos de comercialización y mercadeo</t>
  </si>
  <si>
    <t>Analizar y procesar la información geográfica de la pesca y de la acuicultura</t>
  </si>
  <si>
    <t>Sistemas</t>
  </si>
  <si>
    <t>Administrativa</t>
  </si>
  <si>
    <t>1715-00-002-04</t>
  </si>
  <si>
    <t>Cúcuta</t>
  </si>
  <si>
    <t>No asociado</t>
  </si>
  <si>
    <t>Racionalización de Trámites</t>
  </si>
  <si>
    <t>14. Vida submarina</t>
  </si>
  <si>
    <t>Gestión financiera</t>
  </si>
  <si>
    <t>Libertad de conciencia</t>
  </si>
  <si>
    <t>Servicios Públicos</t>
  </si>
  <si>
    <t>Evaluar el estado de aprovechamiento de los recursos pesqueros marinos, continentales y ornamentales en las cuencas hidrográficas del país</t>
  </si>
  <si>
    <t>Realizar cruceros de prospección, ubicación y potencialidad de recursos pesqueros marinos pelágicos y demersales en el pacífico y mar caribe</t>
  </si>
  <si>
    <t>Determinar los niveles de presencia de metales pesados en las principales especies capturadas en unas zonas del país</t>
  </si>
  <si>
    <t>Caracterizar y evaluar la selectividad y eficiencia de artes de pesca marina y continental de consumo y ornamental y pesca experimental con nuevos diseños de artes, aparejos y métodos de captura</t>
  </si>
  <si>
    <t>1715-00-002-05</t>
  </si>
  <si>
    <t>Dibulla</t>
  </si>
  <si>
    <t>Seguimiento y evaluación del desempeño institucional</t>
  </si>
  <si>
    <t>15. Vida de ecosistemas terrestres</t>
  </si>
  <si>
    <t>Gestión de Servicios TIC</t>
  </si>
  <si>
    <t>Libertad de culto</t>
  </si>
  <si>
    <t>Capacitar a los servidores públicos, en los procesos de gestión institucional de la entidad</t>
  </si>
  <si>
    <t>1715-00-002-06</t>
  </si>
  <si>
    <t>Dorada</t>
  </si>
  <si>
    <t>Seguridad Digital</t>
  </si>
  <si>
    <t>16. Paz, justicia e instituciones sólidas</t>
  </si>
  <si>
    <t>Libertad de expresión</t>
  </si>
  <si>
    <t>Vigilancia</t>
  </si>
  <si>
    <t>Actualizar y mantener el Sistema de Gestión Documental</t>
  </si>
  <si>
    <t>Correspondencia</t>
  </si>
  <si>
    <t>1715-00-002-07</t>
  </si>
  <si>
    <t>El banco</t>
  </si>
  <si>
    <t>Servicio al Ciudadano</t>
  </si>
  <si>
    <t>17. Alianza para lograr los objetivos</t>
  </si>
  <si>
    <t>Libre asociación</t>
  </si>
  <si>
    <t>Investigador</t>
  </si>
  <si>
    <t>Optimizar la gestión administrativa, operativa, de planeación, seguimiento y control de la Entidad, para mejorar el desempeño institucional y la prestación del servicio a nivel nacional</t>
  </si>
  <si>
    <t>Implementar y mantener el Sistema de Gestión de la Calidad (SGC) y Modelo Estándar de Control Interno (MECI)</t>
  </si>
  <si>
    <t>Implementar y mantener el Modelo Integrado de Planeación y Gestión V2, con sus siete (7) dimensiones operativas</t>
  </si>
  <si>
    <t>Implementar y mantener el Sistema de Gestión Ambiental de la Entidad, acorde a la normatividad vigente</t>
  </si>
  <si>
    <t>1715-00-002-08</t>
  </si>
  <si>
    <t>Epam (estación piscícola del alto magdalena)</t>
  </si>
  <si>
    <t>Transparencia, acceso a la información pública y lucha contra la corrupción</t>
  </si>
  <si>
    <t>Libre desarrollo de la personalidad</t>
  </si>
  <si>
    <t>Inspector</t>
  </si>
  <si>
    <t>Adecuar locativamente las sedes de la AUNAP, para ofrecer mejores condiciones a los servidores públicos y brindar una adecuada prestación del servicios</t>
  </si>
  <si>
    <t>1715-00-004-01</t>
  </si>
  <si>
    <t>Estacion bahia malaga</t>
  </si>
  <si>
    <t>Participación Política</t>
  </si>
  <si>
    <t>Realizar mantenimiento preventivo y correctivo a las sedes de AUNAP, para brindar una mejor prestación del servicios de atención a la ciudadanía</t>
  </si>
  <si>
    <t>Florencia-caquetá</t>
  </si>
  <si>
    <t>Paz</t>
  </si>
  <si>
    <t>Director</t>
  </si>
  <si>
    <t>Actualizar la infraestructura (hardware y software) de servicios, para soportar la gestión de los procesos de entidad</t>
  </si>
  <si>
    <t>Implementar y gestionar los procesos de soporte y mantenimiento de los servicios Tecnológicos de la Entidad.</t>
  </si>
  <si>
    <t>Ampliar y actualizar cableado estructurado de la red de datos, para fortalecer los sistemas de telecomunicaciones, transmisión y suministro de la información de la AUNAP</t>
  </si>
  <si>
    <t>Guajira</t>
  </si>
  <si>
    <t>Presentar peticiones</t>
  </si>
  <si>
    <t>Jefe de Oficina</t>
  </si>
  <si>
    <t>Guapi</t>
  </si>
  <si>
    <t>Propiedad Privada</t>
  </si>
  <si>
    <t>Asesor</t>
  </si>
  <si>
    <t>Ibagué</t>
  </si>
  <si>
    <t>protección integral a los menores y la familia</t>
  </si>
  <si>
    <t>Ipiales</t>
  </si>
  <si>
    <t>Recreación, práctica del deporte y aprovechamiento del tiempo libre</t>
  </si>
  <si>
    <t>Profesional estratégico</t>
  </si>
  <si>
    <t>Leticia-amazonas</t>
  </si>
  <si>
    <t>Salud</t>
  </si>
  <si>
    <t>Supervisión</t>
  </si>
  <si>
    <t>Lorica</t>
  </si>
  <si>
    <t>Seguridad social</t>
  </si>
  <si>
    <t>Ambiental</t>
  </si>
  <si>
    <t>Magangué</t>
  </si>
  <si>
    <t>Trabajo</t>
  </si>
  <si>
    <t>Profesional Misional</t>
  </si>
  <si>
    <t>Manaure</t>
  </si>
  <si>
    <t>Vida</t>
  </si>
  <si>
    <t>Motorista</t>
  </si>
  <si>
    <t>Medellín</t>
  </si>
  <si>
    <t>Vivienda Digna</t>
  </si>
  <si>
    <t>Coordinación</t>
  </si>
  <si>
    <t>Mitu</t>
  </si>
  <si>
    <t>Montería</t>
  </si>
  <si>
    <t>Nechi</t>
  </si>
  <si>
    <t>Neiva</t>
  </si>
  <si>
    <t>Nuqui</t>
  </si>
  <si>
    <t>Oficina san marcos</t>
  </si>
  <si>
    <t>Pasto</t>
  </si>
  <si>
    <t>Pereira</t>
  </si>
  <si>
    <t>Plato</t>
  </si>
  <si>
    <t>Popayán</t>
  </si>
  <si>
    <t>Puerto carreño</t>
  </si>
  <si>
    <t>Puerto inirida</t>
  </si>
  <si>
    <t>Puerto Asis</t>
  </si>
  <si>
    <t>Quibdó</t>
  </si>
  <si>
    <t>Repelón</t>
  </si>
  <si>
    <t>Riohacha</t>
  </si>
  <si>
    <t>San jose de guaviare</t>
  </si>
  <si>
    <t>San Marcos</t>
  </si>
  <si>
    <t>Santa Marta</t>
  </si>
  <si>
    <t>Santiago de tolú-morrosquillo</t>
  </si>
  <si>
    <t>Simiti</t>
  </si>
  <si>
    <t>Sucre</t>
  </si>
  <si>
    <t>Tumaco</t>
  </si>
  <si>
    <t>Tunja</t>
  </si>
  <si>
    <t>Turbo</t>
  </si>
  <si>
    <t>Uribia</t>
  </si>
  <si>
    <t>Valledupar</t>
  </si>
  <si>
    <t>Villavicencio</t>
  </si>
  <si>
    <t>Formulación Plan de Acción 202</t>
  </si>
  <si>
    <t>Administrativa y Atención al Ciudadano</t>
  </si>
  <si>
    <t>R_Barrancabermeja</t>
  </si>
  <si>
    <t>G_Documental</t>
  </si>
  <si>
    <t>R_Barranquilla</t>
  </si>
  <si>
    <t>OA_Juridica</t>
  </si>
  <si>
    <t>R_Bogota</t>
  </si>
  <si>
    <t>C_Interno</t>
  </si>
  <si>
    <t>OGCI</t>
  </si>
  <si>
    <t>R_Cali</t>
  </si>
  <si>
    <t>CI_Disciplinario</t>
  </si>
  <si>
    <t>R_Magangue</t>
  </si>
  <si>
    <t>DTAF</t>
  </si>
  <si>
    <t>R_Medellin</t>
  </si>
  <si>
    <t>DTIV</t>
  </si>
  <si>
    <t>T_Humano</t>
  </si>
  <si>
    <t>R_Villavicencio</t>
  </si>
  <si>
    <t>ITEM</t>
  </si>
  <si>
    <t>ÁREA LÍDER</t>
  </si>
  <si>
    <t>NOMBRE DEL PROYECTO</t>
  </si>
  <si>
    <t>OBJETIVO ESPECÍFICO - PROYECTO INVERSIÓN</t>
  </si>
  <si>
    <t>PRODUCTO - PROYECTO INVERSIÓN</t>
  </si>
  <si>
    <t>ACTIVIDAD- PROYECTO INVERSIÓN</t>
  </si>
  <si>
    <t>INDICADOR PRINCIPAL</t>
  </si>
  <si>
    <t>cal_met_restante</t>
  </si>
  <si>
    <t>META VIGENCIA</t>
  </si>
  <si>
    <t>ACCIÓN/ACTIVIDAD</t>
  </si>
  <si>
    <t>ENTREGABLE</t>
  </si>
  <si>
    <t>I TRIMESTRE</t>
  </si>
  <si>
    <t>II TRIMESTRE</t>
  </si>
  <si>
    <t>III TRIMESTRE</t>
  </si>
  <si>
    <t>IV TRIMESTRE</t>
  </si>
  <si>
    <t>ÁREA RESPONSABLE</t>
  </si>
  <si>
    <t>NOMBRE RESPONSABLE</t>
  </si>
  <si>
    <t>CARGO RESPONSABLE</t>
  </si>
  <si>
    <t>CORREO RESPONSABLE</t>
  </si>
  <si>
    <t>RECURSOS REQUERIDOS</t>
  </si>
  <si>
    <t>CLASIFICADOR POR PLAN</t>
  </si>
  <si>
    <t>DERECHOS HUMANOS</t>
  </si>
  <si>
    <t>JUSTIFICACIÓN</t>
  </si>
  <si>
    <t>CONCEPTO ÁREA RESPONSABLE</t>
  </si>
  <si>
    <t>FECHA</t>
  </si>
  <si>
    <t>META RESTANTE</t>
  </si>
  <si>
    <t>OBJETIVOS</t>
  </si>
  <si>
    <t>PRODUCTOS</t>
  </si>
  <si>
    <t>ACTIVIDADES</t>
  </si>
  <si>
    <t>Inventarios nivel central realizados / Total de inventarios nivel central programados</t>
  </si>
  <si>
    <t>adecuacion de una oficina de servicio de la AUNAP</t>
  </si>
  <si>
    <t xml:space="preserve">Informe de ejecución </t>
  </si>
  <si>
    <t>Coordinación Administrativa</t>
  </si>
  <si>
    <t>Gustavo Polo</t>
  </si>
  <si>
    <t>Coordinador Administrativa</t>
  </si>
  <si>
    <t>gustavo.polo@aunap.gov.co</t>
  </si>
  <si>
    <t>Humanos, fisicos, financieros</t>
  </si>
  <si>
    <t>Número de actividades de la estrategia de Servicio al Ciudadano ejecutadas/Número de actividades de la estrategia de Servicio al Ciudadano * 100</t>
  </si>
  <si>
    <t>Mantenimiento a una bien inmueble de la Aunap</t>
  </si>
  <si>
    <t>Coordinador Administrativo</t>
  </si>
  <si>
    <t>Humanos, Físicos, Financieros, Tecnológicos</t>
  </si>
  <si>
    <t>Cantidad de PQRD´s con seguimiento atendidas en los terminos establecidos/cantidad total de PQRDs recibidas</t>
  </si>
  <si>
    <t>Realizar inventario del parque automotor y maritimo de la entidad</t>
  </si>
  <si>
    <t>Numero de actividades que realice la entidad donde se interactue con los ciudadanos apoyadas</t>
  </si>
  <si>
    <t>realizar capacitaciones sobre el manejo de AZ digital de forma integral (PQRS tramites en linea y ventanilla)</t>
  </si>
  <si>
    <t>Actas de asistencia</t>
  </si>
  <si>
    <t>Seguimiento a las diferentes areas de la entidad en el tema de pqrsd, con el fin de que se den respuestas oportunas</t>
  </si>
  <si>
    <t>Informe de pqrsd</t>
  </si>
  <si>
    <t xml:space="preserve">Apoyar las actividades de participacion ciudadana en donde participen nuestros grupos de valor </t>
  </si>
  <si>
    <t>Informes de medición de percepción</t>
  </si>
  <si>
    <t xml:space="preserve">Consolidar el plan de participacion ciudadana </t>
  </si>
  <si>
    <t>Plan de participación</t>
  </si>
  <si>
    <t>recopilar informes de partificpacion ciudadana que se ejecuten a nivel nacional en los diferentes herramientas o medios que tenga la entidad</t>
  </si>
  <si>
    <t>Drive con los informes</t>
  </si>
  <si>
    <t>Publicaciones de contenido institucional divulgado en los diferentes canales dispuestos por la entidad</t>
  </si>
  <si>
    <t>Editar, adaptar y divulgar contenido institucional de la gestión realizada por la entidad para su posicionamiento externo ante los diferentes grupos de interés</t>
  </si>
  <si>
    <t xml:space="preserve">Pieza gráfica acorde al requerimiento (Publicaciones, videos, boletines, infografías o piezas gráficas, etc). </t>
  </si>
  <si>
    <t>Leidy Hidalgo</t>
  </si>
  <si>
    <t>Profesional Especializado</t>
  </si>
  <si>
    <t>leidy.hidalgo@aunap.gov.co</t>
  </si>
  <si>
    <t>Número de piezas de comunicación interna diseñadas y divulgadas/Número de piezas de comunicación interna solicitadas</t>
  </si>
  <si>
    <t xml:space="preserve">Diseñar y divulgar piezas de comunicación internas con base a la información allegada por las diferentes dependencias de la entidad, promoviendo el sentido de pertenencia y la cultura corportiva. 
</t>
  </si>
  <si>
    <t xml:space="preserve">Piezas de comunicacion interna acorde a requerimiento  (pieza grafica, video, infografia o meme, etc) </t>
  </si>
  <si>
    <t>eficacia</t>
  </si>
  <si>
    <t>Productos comunicativos (revistas, newletter, infografias, etc)</t>
  </si>
  <si>
    <t>Crear y divulgar productos comunicativos internos y externos que permitan ampliar la difusión de la informacion institucional a través de los diferentes canales de comunicación.</t>
  </si>
  <si>
    <t>Productos comunicativos acorde a necesidad de información puede ser (Revistas, newletter, infografias, boletines de prensa, videos o publicaciones, etc)</t>
  </si>
  <si>
    <t>Publicaciones en medios Free Press información de gestión institucional para los diferentes grupos de interés</t>
  </si>
  <si>
    <t>Publicar en medios Free Press información de gestión institucional para los diferentes grupos de interés</t>
  </si>
  <si>
    <t>Publicaciones en medios de comunicación</t>
  </si>
  <si>
    <t>Acciones de comunicaciones en alianza con cooperantes, aliados y entiades adscritas</t>
  </si>
  <si>
    <t>Desarrolar acciones de comunicacion en alianza con cooperantes, aliados, entidades del sector, entre otras, para dar un mayor alcance de la gestion institucional</t>
  </si>
  <si>
    <t xml:space="preserve">Acciones de Comunicacion acorde a la necesidad (Puede ser: Foros, eventos, videos, publicaciones, piezas audiovisuales o notas periodisticas, etc) </t>
  </si>
  <si>
    <t>me</t>
  </si>
  <si>
    <t>Espacios de comunicaciòn y/o diálogo desarrollados</t>
  </si>
  <si>
    <t xml:space="preserve">Realizar y/o participar de espacios de comunicacion, diálogo, eventos,  que faciliten la interlocución y el conocimiento de la entidad con los diferentes grupos de valor para fortalecer el posicionamiento institucional. </t>
  </si>
  <si>
    <t>Espacios de comunicacion y/o eventos (Puede ser Transmisión, fotografias, publicaciones, boletines o piezas graficas o convocatoria, etc)</t>
  </si>
  <si>
    <t>Documento con el componente de comunicaciones para la estrategia de rendición de cuentas.</t>
  </si>
  <si>
    <t>Elaborar el componente de comunicaciones para la estrategia de rendición de cuentas adoptada por la entidad.</t>
  </si>
  <si>
    <t>Documento - componente de comunicaciones</t>
  </si>
  <si>
    <t xml:space="preserve">
Campañas digitales realizadas y difundidas</t>
  </si>
  <si>
    <t xml:space="preserve">Realizar campañas digitales que aporten al conocimiento sobre la misionalidad de la entidad. </t>
  </si>
  <si>
    <t xml:space="preserve">Campañas digitales acorde a estrategia definida  (memes, piezas o post, etc) </t>
  </si>
  <si>
    <t>Número de piezas y/o estrategias de comunicacion desarrolladas para regionales /Número de piezas y/o estrategias omunicacion solicitadas por las regionales</t>
  </si>
  <si>
    <t xml:space="preserve">
Apoyar a las direcciones regionales en el fortalecimiento de la comunicación
</t>
  </si>
  <si>
    <t xml:space="preserve">Piezas y/o estrategias de comunicacion para direcciones regionales </t>
  </si>
  <si>
    <t>N° documentos revisados/N° documentos recibidos que cumplan con la totalidad los requisitos</t>
  </si>
  <si>
    <t>Revisar los estudios y documentos previos que elaboran las áreas ejecutoras, de tal forma que se ajusten a la normativa vigente</t>
  </si>
  <si>
    <t>Milton Cuervo</t>
  </si>
  <si>
    <t>milton.cuervo@aunap.gov.co</t>
  </si>
  <si>
    <t>N° de procesos publicados / N° de procesos radicados que cumplan con la totalidad los requisitos.</t>
  </si>
  <si>
    <t>Desarrollar los procesos públicos de selección de acuerdo con las modalidades de selección establecidas en la ley.</t>
  </si>
  <si>
    <t>N° contratos suscritos/N° contratos adjudicados.</t>
  </si>
  <si>
    <t>Elaborar y/o estructurar los contratos con todas las condiciones para su formalización</t>
  </si>
  <si>
    <t>N° de contratos y/o convenios liquidados/N°contratos y/o convenios con solicitud de liquidación con la totalidad los requisitos..</t>
  </si>
  <si>
    <t>Revisar y aprobar actas de liquidación de contratos y convenios</t>
  </si>
  <si>
    <t>N° de procesos publicados / N° de procesos desarrollados</t>
  </si>
  <si>
    <t>Publicar los procesos de contratación con la documentación derivada del mismo en el sistema electrónico de contratación pública</t>
  </si>
  <si>
    <t>N° de trámites adelantados /N° de solicitudes de incumplimiento</t>
  </si>
  <si>
    <t>Adelantar los trámites de incumplimientos de acuerdo con la normatividad vigente</t>
  </si>
  <si>
    <t>N° de certificaciones expedidas / N° de certificaciones solicitadas</t>
  </si>
  <si>
    <t>Expedir certificaciones de los contratos</t>
  </si>
  <si>
    <t>Número de Acciones del plan anual de auditorias ejecutadas/Número de Acciones del plan anual de auditorias programadas</t>
  </si>
  <si>
    <t>Ejecución del plan Anual de Auditorias</t>
  </si>
  <si>
    <t>Control interno</t>
  </si>
  <si>
    <t>Euripides Gonzalez</t>
  </si>
  <si>
    <t>Asesor de control interno</t>
  </si>
  <si>
    <t>Euripides.gonzalez@aunap.gov.co</t>
  </si>
  <si>
    <t>humanos, Físicos, Financieros, Tecnológicos</t>
  </si>
  <si>
    <t>Reportar a los organismos de control los posibles actos de corrupción e irregularidades que haya encontrado en ejercicio de sus funciones.</t>
  </si>
  <si>
    <t>Número de informe sobre el estado de los procesos disciplinarios vigencia 2022 realizados/Número de informe sobre el estado de los procesos disciplinarios vigencia 2022 programados</t>
  </si>
  <si>
    <t>Elaboracion de un informe sobre el estado de los procesos disciplinarios vigencia 2022</t>
  </si>
  <si>
    <t xml:space="preserve">Informe anual sobre el estado de los procesos. </t>
  </si>
  <si>
    <t>Secretaria General</t>
  </si>
  <si>
    <t>Daniel Ariza Heredia</t>
  </si>
  <si>
    <t>Secretario General</t>
  </si>
  <si>
    <t>daniel.ariza@aunap.gov.co</t>
  </si>
  <si>
    <t>Relación de la Ley 734 de 2002 y las normas que lo complementan o sustituyan en el 100% de las actuaciones generadas por CID.</t>
  </si>
  <si>
    <t>Aplicación de la Ley 734 de 2002 y las normas que la complementen o sustituyan</t>
  </si>
  <si>
    <t>Cuadro informativo sobre autos emitidos en el trimestre</t>
  </si>
  <si>
    <t>Número de actividades de divulgación sobre derecho disciplinario realizadas/Número de actividades de divulgación sobre derecho disciplinario programadas</t>
  </si>
  <si>
    <t>Realizar actividades de divulgación sobre derecho disciplinario</t>
  </si>
  <si>
    <t xml:space="preserve">Reporte en PDF de las actividades de divulgacion realizadas en el trimestre  (Tips Disciplinarios, capacitaciones, charlas, inducciones, reinducciones) </t>
  </si>
  <si>
    <t>Tramites atendidos</t>
  </si>
  <si>
    <t>Atender Tramites</t>
  </si>
  <si>
    <t xml:space="preserve">Matriz de relacion de atención de tramites </t>
  </si>
  <si>
    <t>Jhon Jairo Restrepo</t>
  </si>
  <si>
    <t>Director Jhon Jairo Restrepo</t>
  </si>
  <si>
    <t>jhon.restrepo@aunap.gov.co</t>
  </si>
  <si>
    <t>Humano, físico, financiero, tecnológico</t>
  </si>
  <si>
    <t>Acuerdos de ordenacion atendidos</t>
  </si>
  <si>
    <t>Acuerdos de ordenación generados</t>
  </si>
  <si>
    <t>Organizaciones atendidas</t>
  </si>
  <si>
    <t>Apoyar a asociaciones con acciones de fomento de la pesca y la acuicultura en el territorio nacional</t>
  </si>
  <si>
    <t xml:space="preserve">Matriz de relacion con acciones de formento en pesca, acuicultura y conexas </t>
  </si>
  <si>
    <t>Estaciones de acuicultura apoyadas</t>
  </si>
  <si>
    <t>Apoyar a tres estaciones de acuicultura</t>
  </si>
  <si>
    <t xml:space="preserve">Contrato o informe </t>
  </si>
  <si>
    <t>Realizar eventos informativas y divulgativos de acuicultura a traves de las estaciones</t>
  </si>
  <si>
    <t>Desarrollar campañas informativas y divulgadas de acciones de acuicultura a traves de las estaciones</t>
  </si>
  <si>
    <t xml:space="preserve">Pdfs o words de evidencia de las campañas informativas divulgadas </t>
  </si>
  <si>
    <t>Seguimiento a los acuerdos de ordenación pesquera</t>
  </si>
  <si>
    <t>Realizar seguimiento a los acuerdos y/o procesos de ordenación pesquera</t>
  </si>
  <si>
    <t xml:space="preserve">Actas, listados de asistencias, presentaciones, correos </t>
  </si>
  <si>
    <t>Número de productores con acuerdos comerciales suscritos beneficiados/Número de productores con acuerdos comerciales suscritos programados para beneficiar</t>
  </si>
  <si>
    <t xml:space="preserve">Agricultura por Contrato </t>
  </si>
  <si>
    <t xml:space="preserve">Matriz de relación de productores con acuerdos comerciales suscritos </t>
  </si>
  <si>
    <t>Número de reportes realizados/Número de reporte programado</t>
  </si>
  <si>
    <t>Reportar información relacionada con las acciones de administración, ordenación y fomento de la pesca</t>
  </si>
  <si>
    <t xml:space="preserve">PDFS de evidencia donde se ha reportado la información relacionada con acciones de administraciión, ordenacion y fomento </t>
  </si>
  <si>
    <t>Número de congresos de pescadores realizados/Número de congresos de pescadores programados</t>
  </si>
  <si>
    <t>Realizar el Congreso de pescadores</t>
  </si>
  <si>
    <t xml:space="preserve">Acta o listado de asistencia o presentación o relatoria </t>
  </si>
  <si>
    <t xml:space="preserve">Implementar proceso de repoblamiento </t>
  </si>
  <si>
    <t>Realizar proceso de repoblamiento en los departamentos de Antioquia, Santander, Cesar, Boyaca, Bolivar, Sucre, Magdalena, Arauca, Meta, Guavire</t>
  </si>
  <si>
    <t xml:space="preserve">Contrato o actas </t>
  </si>
  <si>
    <t>Número de Documentos técnico realizados/Número de documentos técnicos programados</t>
  </si>
  <si>
    <t>Caracterizar a pescadores artesanales</t>
  </si>
  <si>
    <t xml:space="preserve">Informe de caracterización </t>
  </si>
  <si>
    <t xml:space="preserve">Caracterizar a acuicultores </t>
  </si>
  <si>
    <t>Actos Administrativos de caracter general publicados y comunicados</t>
  </si>
  <si>
    <t>Expedir actos administrativos de caracter general publicados y comunicados</t>
  </si>
  <si>
    <t xml:space="preserve">Actos administrativos de caracter general publicados </t>
  </si>
  <si>
    <t>Número de carnés de pescadores artesanales expedidos /Número de carnés de pescadores artesanales programados</t>
  </si>
  <si>
    <t>Formalizar pescadores artesanales.</t>
  </si>
  <si>
    <t xml:space="preserve">Matriz de formalizacion de pescardores artesanales </t>
  </si>
  <si>
    <t>Eventos realizados</t>
  </si>
  <si>
    <t>Realizar eventos de socialización y divulgación dirigidos a grupos de interés para disminuir las malas prácticas de pesca y de la acuicultura a nivel nacional.</t>
  </si>
  <si>
    <t>informes y Registros fotograficos</t>
  </si>
  <si>
    <t>Jenny Rivera Camelo</t>
  </si>
  <si>
    <t>Directora técnica de inspección y vigilancia</t>
  </si>
  <si>
    <t>jenny.rivera@aunap.gov.co</t>
  </si>
  <si>
    <t>Operativos de inspección, vigilancia y control realizados</t>
  </si>
  <si>
    <t>Realizar los operativos de inspección, vigilancia y control realizados por la DTIV a nivel nacional</t>
  </si>
  <si>
    <t>Formatos de operativos</t>
  </si>
  <si>
    <t>Informes de seguimiento realizados sobre la implementación de los procesos de la DTIV para el control de la pesca y de la acuicultura a nivel nacional</t>
  </si>
  <si>
    <t>Realizar informe de seguimiento a la implementación de los procesos de la DTIV para el control de la pesca y de la acuicultura a nivel nacional</t>
  </si>
  <si>
    <t>Actas - Registros fotograficos y/o informes</t>
  </si>
  <si>
    <t>Documento propuesta de las cuotas globales de pesca realizados</t>
  </si>
  <si>
    <t>Elaborar documento propuesta de las cuotas globales de pesca como insumo para la emisión del acto administrativo.</t>
  </si>
  <si>
    <t>Informe (Documento tecnico)</t>
  </si>
  <si>
    <t xml:space="preserve">Actualizaciones realizadas a la base de datos del Registro General de Pesca.
</t>
  </si>
  <si>
    <t>Actualizar las bases de datos para el seguimiento de los permisionarios en el registro general de pesca - RGP</t>
  </si>
  <si>
    <t>Informe</t>
  </si>
  <si>
    <t>Análisis generados</t>
  </si>
  <si>
    <t>Realizar el seguimiento de la actualización a las bases de datos, análisis generados de los componentes del Servicio Estadístico Pesquero Colombiano - SEPEC</t>
  </si>
  <si>
    <t>Informes reportados a la oficina de comunicaciones sobre los operativos de inspección, vigilancia y control realizados.</t>
  </si>
  <si>
    <t>Reportar la información de los operativos de inspección, vigilancia y control realizados para su divulgacion.</t>
  </si>
  <si>
    <t>informes (Pantallazo, Link)</t>
  </si>
  <si>
    <t>Número de publicaciones  de estados financieros realizadas</t>
  </si>
  <si>
    <t>Elaboración, presentación, transmisión y publicación de estados financieros con la periodicidad requerida, de conformidad con el nuevo Marco Normativo y Conceptual para Entidades de Gobierno, entes de control o terceros que lo requieran. Será publicado en pagina web. (Publicaciones)</t>
  </si>
  <si>
    <t>Sharol Natalia Mora</t>
  </si>
  <si>
    <t>Coordinador Financiero</t>
  </si>
  <si>
    <t>natalia.mora@aunap.gov.co</t>
  </si>
  <si>
    <t>Número de controles de ejecución presupuestal realizados</t>
  </si>
  <si>
    <t>Realizar el  control y registro de las operaciones financieras de acuerdo con los recursos disponibles de la entidad. Integra las actividades relacionadas con la adquisición de bienes y servicios, la gestión de proyectos de inversión  y el registro de la ejecución del presupuesto.(publicaciones )</t>
  </si>
  <si>
    <t>Numero de intervenciones realizadas/Numero de intervenciones programadas</t>
  </si>
  <si>
    <t xml:space="preserve">Aplicación y seguimiento de los instrumentos archivisticos de la entidad </t>
  </si>
  <si>
    <t>Informe semestral de los seguimientos a las diferentes areas de la entidad</t>
  </si>
  <si>
    <t>Funcionario</t>
  </si>
  <si>
    <t>Talento humano</t>
  </si>
  <si>
    <t>Realizar las actividades del Sistema Integrado de Conservacion para la AUNAP</t>
  </si>
  <si>
    <t xml:space="preserve">Informe semestral del avance de las actividades  del SIC </t>
  </si>
  <si>
    <t>Capacitación a las areas de la AUNAP, en temas de Gestion Documental</t>
  </si>
  <si>
    <t xml:space="preserve">Evidencias de las reuniones de las capacitaciones y/o seinsibilizaciones </t>
  </si>
  <si>
    <t>(Número de respuestas atendidas oportunamente a los procesos judiciales, PQRS y actuaciónes judiciales ./Número procesos judicales, PQRS, consultas, actuaciónes judiciales radicadas en la OAJ*100</t>
  </si>
  <si>
    <t>Atender  oportunamente la representación judicial y extrajudicial en los procesos y actuaciones que se instauren en su contra o que esta deba promover  la entidad, las PQRS, consultas, actuaciónes judiciales radicadas en la OAJ.</t>
  </si>
  <si>
    <t>Oficina Asesoria Juridica</t>
  </si>
  <si>
    <t>Miguel Angel Ardila</t>
  </si>
  <si>
    <t>Jefe Oficina Asesora Juridica</t>
  </si>
  <si>
    <t>miguel.ardila@aunap.gov.co</t>
  </si>
  <si>
    <t>Número de cobro persuasivo y/o coactivo atendidos/Número de procesos allegados a la OAJ por ente coactivo *100</t>
  </si>
  <si>
    <t>Coordinar el proceso de cobro persuasivo y/o coactivo de conformidad a la Resolucion 1708 del 5 de octubre de 2016 "Reglamento Interno de Cartera y Manual de Cobro Coactivo" suscrito por la Oficina Asesora Jurídica.</t>
  </si>
  <si>
    <t>Número de actos administrativos  revisados y Proyectados/ Número de solicitudes de revisión y proyección de actos administrativos por parte de la Dirección General y  demas areas AUNAP*100</t>
  </si>
  <si>
    <t>Proyectar y revisar los actos administrativos segun solicitud de la Dirección General, igualmente apoyo y acompañamiento juridico a las demas àreas de la entidad.</t>
  </si>
  <si>
    <t>Número de proyectos de ley, conceptos o materias legales/Número revision y elaboracion de proyectos de ley , coceptos o materias legales * 100</t>
  </si>
  <si>
    <t>Acompañamiento juridico en la elaboraciòn de los proyectos de ley, conceptos o materias legales y asesorar juridicamente al Director General y demàs istancias de la entidad</t>
  </si>
  <si>
    <t>Porcentaje del Sistema Unico de Gestión e Información de Actividad Litigiosa del Estado - eKOGUI actualizado con las piezas procesales.</t>
  </si>
  <si>
    <t>Seguimiento y actualizacion de las piezas procesales, provisiones y riesgos de cada uno de los procesos en la plataforma Sistema Unico de Gestión e Información de Actividad Litigiosa del Estado - eKOGUI. Asi mismo, participacion y toma de decisiones en el Comite de Conciliacion de la entidad.</t>
  </si>
  <si>
    <t>Documentos de investigación elaborados</t>
  </si>
  <si>
    <t>Elaboración de documentos de investigación generados de los proyectos de investigación en pesca, realizados desde la OGCI</t>
  </si>
  <si>
    <t>Documentos</t>
  </si>
  <si>
    <t>Maria Angarita Peñaranda</t>
  </si>
  <si>
    <t>Jefe Oficina</t>
  </si>
  <si>
    <t>maria.angarita@aunap.gov.co</t>
  </si>
  <si>
    <t>Humanos, fisicos, financieros y tecnologicos</t>
  </si>
  <si>
    <t>Conceptos técnicos atendidos/Conceptos tecnicos solicitados</t>
  </si>
  <si>
    <t>Emitir conceptos técnicos relacionados con la pesca, atendidos de acuerdo con las solicitudes recibidas.</t>
  </si>
  <si>
    <t>Conceptos tecnicos</t>
  </si>
  <si>
    <t>Documentos de lineamientos técnicos elaborados</t>
  </si>
  <si>
    <t>Elaboración de documentos de lineamientos técnicos generados de los proyectos de investigación en acuicultura, realizados desde la OGCI</t>
  </si>
  <si>
    <t>Emitir conceptos técnicos relacionados con la acuicultura, atendidos de acuerdo con las solicitudes recibidas.</t>
  </si>
  <si>
    <t>Especies trabajadas a nivel genético</t>
  </si>
  <si>
    <t>Realización de proyectos de investigación en especies acuícolas para trabajos a nivel genético, ejecutados desde la OGCI</t>
  </si>
  <si>
    <t>Documento</t>
  </si>
  <si>
    <t>Elaborar análisis con el uso de herramienta tecnológica ó cartografia, para la recolección, caracterización, almacenamiento, o interpretación de datos e información de recursos pesqueros y  acuicolas, que contribuya a procesos de planificación de estas actividades.</t>
  </si>
  <si>
    <t>Eventos de divulgación de resultados</t>
  </si>
  <si>
    <t>Realización de conferencias o conversatorios para la divulgacion de resultados de investigaciones en pesca,  para personal interno de la AUNAP ó para publico externo de la AUNAP</t>
  </si>
  <si>
    <t>Informes</t>
  </si>
  <si>
    <t>Realización de conferencias o conversatorios para la divulgacion de resultados de investigaciones en acuicultura,  para personal interno de la AUNAP ó para publico externo de la AUNAP</t>
  </si>
  <si>
    <t>Publicaciones</t>
  </si>
  <si>
    <t>Realización de dos  (2) publicaciones en versiones digitales de documentos de resultados relacionados con investigaciones en acuicultura cofinanciadas con recursos OGCI AUNAP.</t>
  </si>
  <si>
    <t>Proyecto formulado</t>
  </si>
  <si>
    <t>Elaboración de proyecto de investigación en acuicultura formulados como propuestas de ejecución involucrando recursos de vigencias futuras presupuestales</t>
  </si>
  <si>
    <t>Número de planes de acción elaborado y publicado/Número de planes de acción programados para elaboración y publicación.</t>
  </si>
  <si>
    <t>Elaborar conjuntamente con la áreas y publicar el Plan de Acción de la AUNAP</t>
  </si>
  <si>
    <t>Herramienta con el Plan de Acción</t>
  </si>
  <si>
    <t>Elsa Malo Lecompte</t>
  </si>
  <si>
    <t>Profesional Especializado con Funciones de Planeación</t>
  </si>
  <si>
    <t>elsa.malo@aunap.gov.co</t>
  </si>
  <si>
    <t>Número de Plan de Acción del Plan Anticorrupción y Atención a la Ciudadanía - PAAC  elaborados y publicados/Número de planes de Plan de Acción del Plan Anticorrupción y Atención a la Ciudadanía - PAAC programados para elaboración y publicación.</t>
  </si>
  <si>
    <t>Elaborar conjuntamente con las áreas y publicar el Plan de Acción del Plan Anticorrupción y Atención a la Ciudadanía - PAAC</t>
  </si>
  <si>
    <t>Herramienta con el Plan Anticorrupción y de atención al ciudadano</t>
  </si>
  <si>
    <t>Número de informes realizados y publicados/Número de informes programados.</t>
  </si>
  <si>
    <t>Realizar  y publicar cuatro (4) análisis de la gestión de: Plan de Acción, Plan Anticorrupción y Atención a la Ciudadanía - PAAC y Gestión de riesgos dirigido a los líderes de procesos.</t>
  </si>
  <si>
    <t>Informe de Monitoreo realizado a cada plan</t>
  </si>
  <si>
    <t>Número de solicitudes atendidas/número de solicitudes recibidas.</t>
  </si>
  <si>
    <t>Dar respuesta al 100% de las solicitudes de creación, modificación o eliminacion de documentos SIG que llegan al Profesional Especializado con Funciones de planeación en horario y dias laborales.</t>
  </si>
  <si>
    <t>Reporte del trámite para los documentos solicitados en el Sistema de Gestición Institucional</t>
  </si>
  <si>
    <t>Número de Diagnósticos ambientales realizados/Número de diagnósticos programados</t>
  </si>
  <si>
    <t>Realizar el Diagnóstico Ambiental de las tres (3) estaciones pesqueras de la AUNAP.</t>
  </si>
  <si>
    <t>Documento con el Diagnostico Ambiental</t>
  </si>
  <si>
    <t>Número de informes de gestión realizados/Número de informes de gestión programados</t>
  </si>
  <si>
    <t>Elaborar un informe de gestion de la entidad.</t>
  </si>
  <si>
    <t>Informe de Gestión Publicado</t>
  </si>
  <si>
    <t>Número de talleres realizados en regionales/Número de talleres programados en regionales</t>
  </si>
  <si>
    <t>Realizar siete (7) talleres de manera presencial o virtual en temas de Planeación dirigido a las Direcciones Regionales.</t>
  </si>
  <si>
    <t>Presentaciones Presenciales y/o Virtuales, actas de asistencia, fotos, etc.</t>
  </si>
  <si>
    <t>Número de talleres realizados en nivel central/Número de talleres programados en nivel central</t>
  </si>
  <si>
    <t>Realizar cuatro (4) talleres de manera presencial o virtual, dirigidos a funcionarios y contratistas en temas de Planeación de Nivel Central</t>
  </si>
  <si>
    <t>Lista de activos tangibles e intangibles operando</t>
  </si>
  <si>
    <t>Mantener actualizado el inventario de activos de las TICs que facilite el plan de mantenimiento.</t>
  </si>
  <si>
    <t>Lista</t>
  </si>
  <si>
    <t>Lista de equipos adquiridos que fortalecen la operación de la AUNAP</t>
  </si>
  <si>
    <t>Continuar con el fortalecemiento de la infraestructura de TICs para atender los requerimientos tecnológicos de las diferentes dependencias y oficinas de la AUNAP a nivel central y regional y su DATACENTER</t>
  </si>
  <si>
    <t>Documentos técnicos actualizados</t>
  </si>
  <si>
    <t>Actualizacion y socializacion del manual del sistema de gestión de seguridad de la información-SGSI y del Plan Estrategico de Tecnologias de la Informacion-PETI</t>
  </si>
  <si>
    <t>Se actualizara el plan estratégicos de seguridad de la información - PESI  y el plan de tratamiento de riesgos de seguridad y privacidad de la Información</t>
  </si>
  <si>
    <t>Formato</t>
  </si>
  <si>
    <t>Actualizar el procedimiento de soporte tecnico, incluyendo el formato de solicitud  por parte de los usuarios de la entidad</t>
  </si>
  <si>
    <t>Numero de actividades desarrolladas Vs Numero de actividades propuestas en el plan de Bienestar e incentivos</t>
  </si>
  <si>
    <t>Ejecutar las actividades propuestas en el plan de Bienestar e incentivos</t>
  </si>
  <si>
    <t>Listas de asistencia
Informes de actividades
Invitaciones a los participantes</t>
  </si>
  <si>
    <t>Laura Olaya</t>
  </si>
  <si>
    <t>Profesional Especializada 13</t>
  </si>
  <si>
    <t xml:space="preserve">laura.olaya@aunap.gov.co </t>
  </si>
  <si>
    <t>Las actividades de bienestar propenden el desarrollo de la calidad de vida laboral y el ambiente de trabajo adecuado en los funcionarios</t>
  </si>
  <si>
    <t>Numero de actividades realizadas Vs Numero de actividades establecidas en el Plan de Seguridad y Salud en el Trabajo PTASST</t>
  </si>
  <si>
    <t>Ejecutar las actividades establecidas el Plan de Seguridad y Salud en el Trabajo PTASST</t>
  </si>
  <si>
    <t>Los programas y las actividades dentro del sistema de gestión tienen como fin promover la salud, previniendo las enfermedades tanto comunes como laborales de cada uno de los funcionarios</t>
  </si>
  <si>
    <t>Numero de capacitaciones realizadas Vs Numero de capacitaciones programadas en el PNFC</t>
  </si>
  <si>
    <t>Ejecutar las capacitaciones programadas en el Plan Nacional de Formación Capacitación</t>
  </si>
  <si>
    <t>Las capacitaciones y actividades del Plan institucional tienen como fin, nivelar el conocimiento y conocimientos de los funcionarios desde la educación y formación en temas de importancia para sus regiones</t>
  </si>
  <si>
    <t>Numero de actividades  realizadas Vs Numero de actividades programadas</t>
  </si>
  <si>
    <t>Cumplir con el 100% de las actividades propuestas en el Procedimiento de Vinculacion de Vacantes en cada uno de los nombramientos.</t>
  </si>
  <si>
    <t>Acto administrativo proyectado</t>
  </si>
  <si>
    <t xml:space="preserve">No aplica </t>
  </si>
  <si>
    <t>Realizar operativos de control y sensibilización</t>
  </si>
  <si>
    <t>Relación de los operativos realizados y/o soportes</t>
  </si>
  <si>
    <t>JAVIER JESUS OVALLE MARTINEZ</t>
  </si>
  <si>
    <t>DIRECTOR REGIONAL</t>
  </si>
  <si>
    <t>javier.ovalle@aunap.gov.co</t>
  </si>
  <si>
    <t>Personal, viaticos, transporte</t>
  </si>
  <si>
    <t>Impacto en la seguridad alimentaria al respetar las tallas minimas de captura, las zonas de pesca, utilizar los aparejos y artes de pesca reglamentarios, esto con el fin de aumentar la producción del recurso pesquero a nivel regional</t>
  </si>
  <si>
    <t>Atencion de tramites: pequeños comerciantes, conceptos tecnicos, prorrogas, permisos de comercialización, modificaciones, autos de archivo, cancelaciones (actuaciones administrativas de tramites)</t>
  </si>
  <si>
    <t>Relación de conceptos tecnicos para permisos nuevos, modificaciones y prorrogas; Relación de visitas de inspeccion ocular para permisos a pequeños comerciantes (no se incluye permisos de cultivo nuevos)</t>
  </si>
  <si>
    <t>Relación de conceptos técnicos expedidos de permisos y/o soportes</t>
  </si>
  <si>
    <t>La expedición de trámites permite a los permisionarios estar legalmente inscritos ante la Autoridad Competente, y trabajar de la mano con comerciantes y pescadores artesanales a nivel local, regional y nacional</t>
  </si>
  <si>
    <t>Trámites atendidos/No Productores formalizados</t>
  </si>
  <si>
    <t>Formalización de acuicultores, pequeños, medianos y grandes acuicultores</t>
  </si>
  <si>
    <t>La expedición de trámites permite a los permisionarios estar legalmente inscritos ante la Autoridad Competente, y trabajar de la mano con comerciantes, acuicultores y pescadores artesanales a nivel local, regional y nacional</t>
  </si>
  <si>
    <t>Número de Asociones capacitadas/Número de asociaciones programadas para capacitar</t>
  </si>
  <si>
    <t>Capacitar asociaciones en temas de pesca y acuicutura</t>
  </si>
  <si>
    <t>Listados de asistencia de capacitaciones y/o soportes</t>
  </si>
  <si>
    <t>Debido a que los pescadores no cuentan con un nivel de escolaridad basico, a través de estas capacitaciones se busca que ellos tengan conocimiento sobre la normatividad pesquera y acuicola, y a su vez apliquen los conocimientos adquiridos, buscando el sentido de pertenencia hacia su  actividad economica  y entorno de trabajo</t>
  </si>
  <si>
    <t>Trámites atendidos/No. de Pescadores formalizados</t>
  </si>
  <si>
    <t>Formalizar pescadores artesanales</t>
  </si>
  <si>
    <t>Relación de carnés expedidos de Pesca Artesanal y/o soportes</t>
  </si>
  <si>
    <t xml:space="preserve">Estar legalmente formalizados ante la autoridad competente, es de gran importancia para identificar al gremio de pescadores ante las fuerzas publicas y demás entidades que requieran el permiso de pesca artesanal comercial, y a su vez ejercer libremente el trabajo en las diferentes cuerpos hidricos de nuestra jurisdicción, </t>
  </si>
  <si>
    <t>Número de capacitaciones realizadas/Número de capacitaciones programadas</t>
  </si>
  <si>
    <t>Capacitar a los grupos de interes en asociatividad y normatividad para el ejercicio de la acuicultura, pesca, y actividades conexas</t>
  </si>
  <si>
    <t xml:space="preserve">A través de estas capacitaciones se busca que los pescadores tengan conocimiento sobre las ventajas que es formalizarse a través de gremios de pescadores, o incentivar a la agrupación y creación de una empresa, tambien de participar en proyectos productivos e diferentes entidades. </t>
  </si>
  <si>
    <t>Atención de acuerdos y de los procesos de ordenación de la actividad pesquera y de la acuicultura.</t>
  </si>
  <si>
    <t>Informes de Seguimiento a los Acuerdos y/o procesos de ordenación</t>
  </si>
  <si>
    <t>La ordenación pesquera tiene como resultado el uso sostenible a largo plazo del recurso pesquero, en cuental al respeto de las zonas de pesca (vedas), el cumplimiento en las buenas prácticas pesqueras (uso de artes y/o aparejos de pesca), buenas practicas de manufactura (comercialización) con el fin de garabtizar la seguridad alimentaria de la comunidades pesqueras del territorio</t>
  </si>
  <si>
    <t>Proyectos entregados</t>
  </si>
  <si>
    <t xml:space="preserve">Seguimiento a las entregas del programa de fomento </t>
  </si>
  <si>
    <t>Formato de seguimiento de cada proyecto</t>
  </si>
  <si>
    <t xml:space="preserve">Aprovechar los elementos, insumos para promover e incentivar la actividad economica de los pescadores, trabajar grupalmente en busca de la sostenibilidad economica, y promover mas trabajo entre la misma comunidad. </t>
  </si>
  <si>
    <t>Base datos registro de tramites realizados  para el ejercicio actividad</t>
  </si>
  <si>
    <t>Jorge Roa</t>
  </si>
  <si>
    <t>Director Regional</t>
  </si>
  <si>
    <t>jorge.roa@aunap.gov.co</t>
  </si>
  <si>
    <t xml:space="preserve">Pequeños Comerciates formalizados </t>
  </si>
  <si>
    <t>Gestionar las solicitudes de los tramites de permisos de para el ejercicio de la pesca y la acuicultura</t>
  </si>
  <si>
    <t>Formalizacion acuicultores de subsistencia, pequeños, medianos y grandes acuicultores</t>
  </si>
  <si>
    <t>Relación de los conceptos tecnicos para los permisos</t>
  </si>
  <si>
    <t>Número de alevines rescatados y trasladados a areas de guarderias/Número de alevines programados para  rescate y traslado a areas de guarderia</t>
  </si>
  <si>
    <t xml:space="preserve">Actas de salvamento y rescate </t>
  </si>
  <si>
    <t xml:space="preserve">Número de alevines produccidos para activiades de fomento y repoblamiento </t>
  </si>
  <si>
    <t>Rescate y traslado de alevines de las especies migratorias y nativas en temporada de subienda a areas cenagosas dentro de la DRBQ</t>
  </si>
  <si>
    <t xml:space="preserve">Actas de produccion </t>
  </si>
  <si>
    <t>Numero pescadores artesanales formalizados/ No de pescadores</t>
  </si>
  <si>
    <t>Expedir carnets, para el ejercicio de la actividad pesquera</t>
  </si>
  <si>
    <t>Campañas divulgativas</t>
  </si>
  <si>
    <t>Apoyar en el desarrollo de campañas informativas y divulgadas de acciones de acuicultura a través de las estaciones </t>
  </si>
  <si>
    <t xml:space="preserve">Actas y listados de asistencias </t>
  </si>
  <si>
    <t>Asociaciones instruidas en  buenas practicas pesqueras y acuicolas para el ejercicio de la pesca y la acuicultura y asociatividad</t>
  </si>
  <si>
    <t>Divulgar e instruir a las grupos de interes en buenas practicas pesqueras y acuicolas, de manufactura y asociatividad para  el ejercicio de la pesca y la acuicultura</t>
  </si>
  <si>
    <t xml:space="preserve">lListado de asistencias </t>
  </si>
  <si>
    <t>Grupos de interes instruidos en  buenas practicas pesqueras y acuicolas para el ejercicio de la pesca y la acuicultura y asociatividad</t>
  </si>
  <si>
    <t>Divulgar e instruir a las comunidades buenas practicas pesqueras y acuicolas, de manufactura y asociatividad para  el ejercicio de la pesca y la acuicultura</t>
  </si>
  <si>
    <t>Listado de asistencias</t>
  </si>
  <si>
    <t xml:space="preserve">Numero de acuerdos y/o de los procesos de ordenación de la actividad pesquera y de la acuicultura atendidos </t>
  </si>
  <si>
    <t>Atención de acuerdos y/o de los procesos de ordenación de la actividad pesquera y de la acuicultura.</t>
  </si>
  <si>
    <t>Actas y listado de asistencias</t>
  </si>
  <si>
    <t xml:space="preserve">Numero de asociaciones asistidas </t>
  </si>
  <si>
    <t xml:space="preserve">Atencion a solicitudes de asociaciones de pesca y acuicultura para el apoyo en el mejoramiento de la actividad productiva </t>
  </si>
  <si>
    <t xml:space="preserve">Actas de asistencias </t>
  </si>
  <si>
    <t>Numero de censo realizados / No municipios visitados</t>
  </si>
  <si>
    <t>Realizar censo de embarcaciones y motonaves en algunas comunidades de pescadores de la DRBQ</t>
  </si>
  <si>
    <t xml:space="preserve">Registro de Base de Datos </t>
  </si>
  <si>
    <t>Registro de desembarcos</t>
  </si>
  <si>
    <t>Realizar el registro de desembarco de algunas de las asociaciones pesquera que estan dentro de la jurisdiccion de la Regional Barranquilla</t>
  </si>
  <si>
    <t>!00%</t>
  </si>
  <si>
    <t>Numero de asociaciones visitadas para seguimiento s</t>
  </si>
  <si>
    <t>Realizar el seguimiento del buen uso de elementos e insumos entregados a asociaciones en los programas de fortelcimiento de actividad pesquera y acuicola vigencia 2019 - 2021</t>
  </si>
  <si>
    <t xml:space="preserve">Actas de seguimiento </t>
  </si>
  <si>
    <t xml:space="preserve">Control y vigilancia a la actividad de pesca artesanal </t>
  </si>
  <si>
    <t xml:space="preserve">No operativos a la pesca artesanal / No de Operativos realizados </t>
  </si>
  <si>
    <t xml:space="preserve">Formatos y actas de opeartivos </t>
  </si>
  <si>
    <t xml:space="preserve">Control y vigilancia a la actividad de desembarcos de pesca artesanal en puertos  </t>
  </si>
  <si>
    <t xml:space="preserve">No de operativos a desembarcos / No de operativos realizados </t>
  </si>
  <si>
    <t xml:space="preserve">Control y vigilancia a la actividad de desembarco de la pesca industrial en puertos </t>
  </si>
  <si>
    <t xml:space="preserve">No operativos pesca industrial / No de operativos realizados </t>
  </si>
  <si>
    <t xml:space="preserve">Control y vigilancia a la actividad de produccion piscicola y de acuicultura  de consumo y ornamenti de pequeños, medianos y grandes productores </t>
  </si>
  <si>
    <t xml:space="preserve">No. Operativos a Cultivos / No de Operativos Realizados </t>
  </si>
  <si>
    <t xml:space="preserve">Control y vigilancia a la actividad de procesamiento, tallas y cuotas en plantas de procesos </t>
  </si>
  <si>
    <t xml:space="preserve">No Operaivos a Planta de procesos / No de Operativos / realizados </t>
  </si>
  <si>
    <t xml:space="preserve">Control y vigilancia a la comercialización y transporte de productos de pesca artesanal, de la  acuicultura  para consumo y ornamentois en puertos, areopuestos y terminales </t>
  </si>
  <si>
    <t xml:space="preserve">No de Operativos en Puertos, aeropuerto, terminales / No de operativos realizados </t>
  </si>
  <si>
    <t xml:space="preserve">Control y vigilancia a la comercialización de productos de pesca y produccion ornamental </t>
  </si>
  <si>
    <t>No operativos a comerciantes de ornamental / No de operativos realizados</t>
  </si>
  <si>
    <t>Control y vigilancia a la comercialización de productos de pesca y produccion  de consumo y ornamental en zonas de fronteras</t>
  </si>
  <si>
    <t>No Operativos Frontera / No operativos realizados</t>
  </si>
  <si>
    <t xml:space="preserve">Control y vigilancia a la comercialización y transporte de productos de origen pesqueros y de la acuicultura  en carreteras </t>
  </si>
  <si>
    <t xml:space="preserve">No operativos Carretera / No opertaivos relaizados </t>
  </si>
  <si>
    <t>Control y vigilancia a la comercialización de productos de origen pesqueros y de la acuicultura  en zonas comerciales, plazas, pesquerias, centros de acopio, grandes superficies y almacenes de cadena</t>
  </si>
  <si>
    <t xml:space="preserve">No operativos pesquerias, plazas, centros de acopios, almacenes de cadenas  y grandes superfiecies </t>
  </si>
  <si>
    <t xml:space="preserve">Control y vigilancia al ejercicio de la actividad de la pesca deportiva </t>
  </si>
  <si>
    <t xml:space="preserve">No Operativos pesca deportiva / No de operativos realizados </t>
  </si>
  <si>
    <t>Asociaciones instruidas en implementacion de normatividad pesqueras y acuicola</t>
  </si>
  <si>
    <t>Instruir a las asociaciones en el conocimiento y aplicación de la normatividad pesquera y acuicola del pais para el ejercicio de la pesca y la acuicultura</t>
  </si>
  <si>
    <t>Grupo de interes instruidas en implementacion de normatividad pesqueras y acuicola</t>
  </si>
  <si>
    <t>Instruir a los grupos de interes en el conocimiento y aplicación de la normatividad pesquera y acuicola del pais para el ejercicio de la pesca y la acuicultura</t>
  </si>
  <si>
    <t>Producto</t>
  </si>
  <si>
    <t>No. Estaciones de acuicultura apoyadas</t>
  </si>
  <si>
    <t>Apoyo a estaciones de acuicultura (Gigante-Huila)</t>
  </si>
  <si>
    <t>Contrato</t>
  </si>
  <si>
    <t>Regional Bogota</t>
  </si>
  <si>
    <t>Carlos Augusto Borda Rodriguez</t>
  </si>
  <si>
    <t>Director Regional Bogotá</t>
  </si>
  <si>
    <t>carlos.borda@aunap.gov.co</t>
  </si>
  <si>
    <t>No. Trámites atendidos</t>
  </si>
  <si>
    <t xml:space="preserve">Relación de conceptos tecnicos para permisos nuevos, modificaciones y prorrogas; Relación de visitas de inspeccion ocular para permisos a pequeños comerciantes (no se incluye permisos de cultivo nuevos) </t>
  </si>
  <si>
    <t>No Alevinos producidos</t>
  </si>
  <si>
    <t>Producir Alevinos</t>
  </si>
  <si>
    <t xml:space="preserve">Matriz de relación de producción de alevinos </t>
  </si>
  <si>
    <t>No. Eventos de extensión rural realizados</t>
  </si>
  <si>
    <t xml:space="preserve">Desarrollar campañas informativas y divulgadas de acciones de acuicultura a traves de las estaciones </t>
  </si>
  <si>
    <t xml:space="preserve">Matriz de relacion de las campañas realizadas y listado de assitencia </t>
  </si>
  <si>
    <t>Realizar capacitaciones a los grupos de interés en asociatividad y normatividad para el ejercicio de la acuicultura, pesca y actividades conexas</t>
  </si>
  <si>
    <t>Matriz de relación de capacitaciones, listados de asistencia</t>
  </si>
  <si>
    <t>Número de asociaciones capacitadas/Número de asociaciones programadas para capacitar.</t>
  </si>
  <si>
    <t>Realizar capacitaciones a las asociaciones en temas de pesca y acuicultura</t>
  </si>
  <si>
    <t>º</t>
  </si>
  <si>
    <t>Pescadores artesanales formalizados/pescadores artesanales programados para formalizar</t>
  </si>
  <si>
    <t>Realizar la formalización de Pescadores Artesanales</t>
  </si>
  <si>
    <t xml:space="preserve">Matriz de relación de formalización </t>
  </si>
  <si>
    <t>Realizar Operativos de Control</t>
  </si>
  <si>
    <t xml:space="preserve">Actas de operativos y fotos </t>
  </si>
  <si>
    <t xml:space="preserve">Revisado por parte de DTAF y trabajado con la Regional </t>
  </si>
  <si>
    <t>Numero de Repoblamientos realizados sobre Numero de Repoblamientos programados</t>
  </si>
  <si>
    <t xml:space="preserve">Repoblamientos misionales con especies nativas </t>
  </si>
  <si>
    <t xml:space="preserve">Actas </t>
  </si>
  <si>
    <t>No. atención de acuerdos y/o de los procesos de ordenación de la actividad pesquera y de la acuicultura.</t>
  </si>
  <si>
    <t xml:space="preserve">Matriz de relacion de acueros y/o procesos de ordenación atendidos y listados de asistencia </t>
  </si>
  <si>
    <t xml:space="preserve">Numero de seguimiento a inciativas productivas entregadas programados / Numero de seguimientos a iniciativas entregadas realizadas  </t>
  </si>
  <si>
    <t>Realizar seguimientos a las entregas del programa de Fomento (Res.1686/2019)</t>
  </si>
  <si>
    <t xml:space="preserve">Matriz de relación de relación de seguimientos, formatos diligenciados  </t>
  </si>
  <si>
    <t>Tramites atendidos / No.  productores formalizados</t>
  </si>
  <si>
    <t>Trámites atendidos</t>
  </si>
  <si>
    <t>Sandra Amgulo</t>
  </si>
  <si>
    <t>sandra.angulo@aunap.gov.co</t>
  </si>
  <si>
    <t>Desarrollar campañas informativas y Divulgadas de acciones de acuicultura a través de las estaciones</t>
  </si>
  <si>
    <t>Numero de alevinos producidos</t>
  </si>
  <si>
    <t>Produccion de alevinos</t>
  </si>
  <si>
    <t>Numero de capacitaciones realizadasNumero de capacitaciones programadas</t>
  </si>
  <si>
    <t>Capacitación a los grupos de interés en asociatividad y normatividad para el ejercicio de la acuicultura, pesca y actividades conexas</t>
  </si>
  <si>
    <t>Número de asociaciones capacitadas/Número de asociaciones programadas</t>
  </si>
  <si>
    <t>Asociaciones capacitadas en temas de pesca y acuicultura</t>
  </si>
  <si>
    <t>Número de pescadores artesanales formalizados/Número de pescadores artesanales programados para formalizar</t>
  </si>
  <si>
    <t>Formalizar Pescadores artesanales</t>
  </si>
  <si>
    <t>Número de eventos realizados/Número de eventos programados</t>
  </si>
  <si>
    <t>Eventos de divulgación y socialización apoyados a nivel nacional en pro de disminuir las malas prácticas, en el ejercicio del control y vigilancia preventiva de la actividad pesquera y acuícola.</t>
  </si>
  <si>
    <t xml:space="preserve">Numero de seguimientos realizados </t>
  </si>
  <si>
    <t>Realizar seguimiento a las entregas del programa de fomento (Res 1686/19)</t>
  </si>
  <si>
    <t>Realizar operativos de control y vigilancia de la actividad pesquera y de la acuicultura y verificar el cumplimiento de  la normatividad pesquera y acuícola en:(Centros de acopio, Puntos de venta, Plazas principales, Muelles de desembarque, Aeropuertos, Vías terrestres y fluviales (incluidos cuerpos de agua) de la regional.</t>
  </si>
  <si>
    <t>Reportes de monitoreo que aportan a documentos de investigación</t>
  </si>
  <si>
    <t xml:space="preserve">Realizar salidas de campo  para la recopilación de información biológico pesquera del camarón blanco (L. penaeus spp) en caladeros de pesca
</t>
  </si>
  <si>
    <t xml:space="preserve">Realizar salidas de campo  para la recopilación de información biológica pesquera.sel recurso piangua (anadara)
</t>
  </si>
  <si>
    <t>Operativos de Inspección, vigilancia y control realizados</t>
  </si>
  <si>
    <t>Realizar operativos de control</t>
  </si>
  <si>
    <t xml:space="preserve">Matriz con los operativos de control y formatos con los operativos </t>
  </si>
  <si>
    <t>Regional Magangue</t>
  </si>
  <si>
    <t>Katerine Garcia</t>
  </si>
  <si>
    <t>Director regional Magangue</t>
  </si>
  <si>
    <t>katerine.garcia@aunap.gov.co</t>
  </si>
  <si>
    <t xml:space="preserve">Revisado por parte de DTIV y trabajado con la Regional </t>
  </si>
  <si>
    <t>Capacitaciones a los grupos de interes en divulgacion y BPP/BPM para el ejercicio de la acuicultura, pesca y actividades conexas</t>
  </si>
  <si>
    <t>Matriz con la relación de eventos realizados y listados de asistencia</t>
  </si>
  <si>
    <t>trimestral</t>
  </si>
  <si>
    <t>Numero de pescadores formalizados</t>
  </si>
  <si>
    <t xml:space="preserve">Matriz con la relación de pescadores formalizados </t>
  </si>
  <si>
    <t>Numero de grupos de interes capacitacdos en asociatividad y normatividad en pesca, acuicultura y acitividades conexas</t>
  </si>
  <si>
    <t>Capacitacion a los grupos de interes en asociatividad y normatividad para el ejercicio de la acuicultura, pesca y actividades conexas</t>
  </si>
  <si>
    <t xml:space="preserve">Matriz con la relación de capacitaciones y listado de asistencia  </t>
  </si>
  <si>
    <t xml:space="preserve">Matriz con la relación de tramites atendidos </t>
  </si>
  <si>
    <t>Número de personas capacitadas / número de personas programadas</t>
  </si>
  <si>
    <t>Numero de personas Capacitadas en Pesca y Acuícultura</t>
  </si>
  <si>
    <t>Matriz con la relación de personas capacitadas</t>
  </si>
  <si>
    <t>Numero de acuerdos y/o de procesos de Ordenación Atendidos</t>
  </si>
  <si>
    <t>Numero de Eventos realizados Sobre Nuemero de Eventos programados</t>
  </si>
  <si>
    <t>Desarrollar actividades orientadas a sensibilizar a la Poblacion dedicada a la actividad Pesquera y Acuicultura, en normatividad  de la pesca y Acuicultura en Colombia</t>
  </si>
  <si>
    <t xml:space="preserve">Eventos de Divulgacion </t>
  </si>
  <si>
    <t>Realizar eventos de divulgación y socialización apoyados en pro de disminuir las malas prácticas , en el ejercicio del control y vigilancia preventiva de la actividad pesquera y acuícola.</t>
  </si>
  <si>
    <t>Informe de actividad y formato de  asistencia</t>
  </si>
  <si>
    <t>Regional Medellin</t>
  </si>
  <si>
    <t>EDWIN MARTIN MUÑOZ DIAZ</t>
  </si>
  <si>
    <t>DIRECTOR REGIONAL MEDILLIN</t>
  </si>
  <si>
    <t>edwin.munoz@aunap.gov.co</t>
  </si>
  <si>
    <t>No. de trámites atendidos</t>
  </si>
  <si>
    <t>Número de asociaciones capacitadas/número de capacitacio a asociaciones programadas.</t>
  </si>
  <si>
    <t>Capacitadar asociaciones en temas de pesca y acuicultura</t>
  </si>
  <si>
    <t>Informe de actividad y formato de asistencia</t>
  </si>
  <si>
    <t>Número de capacitaciones realizadas/número de capacitaciones programadas.</t>
  </si>
  <si>
    <t>Capacitar a los grupos de interés en asociatividad y normatividad para el ejercicio de la acuicultura y pesca y actividades conexas</t>
  </si>
  <si>
    <t>Número de personas capacitadas/número de personas programadas</t>
  </si>
  <si>
    <t>Capacitar a Personas en normatividad y procedimientos para el ejercicio de la acuicultura</t>
  </si>
  <si>
    <t>Número de personas capacitadas en BPM/Número de personas programadas.</t>
  </si>
  <si>
    <t>Capacitar a Personas en buenas practicas pesqueras (BPP) y buenas practicas de manufactura (BPM)</t>
  </si>
  <si>
    <t>Número de capacitaciones realizadas/Número de capacitaciones programadas.</t>
  </si>
  <si>
    <t>Realizar capacitaciones en normatividad y medidas de inspección y vigilancia de la actividad pesquera y acuícola</t>
  </si>
  <si>
    <t>Número de campañas de divulgaciones y promoción realizadas/Número de campañas de divulgación y promoción programadas</t>
  </si>
  <si>
    <t>Realizar campañas de divulgación y promoción a nivel nacional, sobre normatividad de pesca y acuicultura</t>
  </si>
  <si>
    <t xml:space="preserve">Informe de actividad con fotos </t>
  </si>
  <si>
    <t>Número de pescadores artesanales formalizados/Número de pescadores artesanales programados</t>
  </si>
  <si>
    <t>Matriz de Carnet Artesanal expedidos</t>
  </si>
  <si>
    <t>Formato de operativo e informe individual</t>
  </si>
  <si>
    <t xml:space="preserve">Matriz de atencion procesos de ordenación atendidos </t>
  </si>
  <si>
    <t>Maritza Casallas Delgado</t>
  </si>
  <si>
    <t>maritza.casallas@aunap.gov.co</t>
  </si>
  <si>
    <t xml:space="preserve">Capacitar a asociaciones en temas pesca, acuicultura y actividades conexas </t>
  </si>
  <si>
    <t>Relación de capacitaciones a asociaciones con los correspondientes listados de asistencia.</t>
  </si>
  <si>
    <t xml:space="preserve">Capacitaciones a los grupos de interes en asociatividad y normartividad para el ejercicio de la acuicultura, pesca y actividades conexas </t>
  </si>
  <si>
    <t>Relación del numero de capacitaciones a grupos de interes con los correspondientes listados de asistencia.</t>
  </si>
  <si>
    <t>Desarrollar actividades orientadas a sensibilizar a la población dedicada a la actividad pesquera y la acuicultura, en normatividad y medidas de ordenación de la pesca y acuicultura en Colombia.</t>
  </si>
  <si>
    <t>Relación del numero de eventos con los respectivos registros fotograficos.</t>
  </si>
  <si>
    <t xml:space="preserve">Realizar operativos de control y vigilancia de la actividad pesquera y de la acuicultura y verificar el cumplimiento de  la normatividad pesquera y acuícola en:(Centros de acopio, Puntos de venta, Plazas principales, Muelles de desembarque, Aeropuertos, Vías terrestres y fluviales (incluidos cuerpos de agua) de la regional.
</t>
  </si>
  <si>
    <t>Relación del numero de operativos con los respectivos formato de inspeccion y vigilancia diligenciados segun corresponda el tipo de permisionario.</t>
  </si>
  <si>
    <t>Pescadores formalizadas</t>
  </si>
  <si>
    <t>Relacion de carnets expedidos a los pescadores artesanales.</t>
  </si>
  <si>
    <t>No de pescadores formalizados</t>
  </si>
  <si>
    <t>Promover la formalización de pescadores mediante la entrega del carnet de pesca deportiva</t>
  </si>
  <si>
    <t>Relacion de carnets expedidos a los pescadores deportivos.</t>
  </si>
  <si>
    <t>No. de personas  con beneficio de inclusion productiva</t>
  </si>
  <si>
    <t>Beneficiarios con estrategias de inclusión productiva</t>
  </si>
  <si>
    <t>Lista de los beneficarios de los proyectos y registro de inscripción</t>
  </si>
  <si>
    <t xml:space="preserve">Relación de los conceptos tecnicos para los permisos </t>
  </si>
  <si>
    <t>No. de acuerdos de los procesos de ordenacion atendidos</t>
  </si>
  <si>
    <t>Listados de asistencia a capacitaciones y/o talleres, socializaciones, acompañamientos.</t>
  </si>
  <si>
    <t>No. seguimiento a las entregas a los programas de fomento atendidos</t>
  </si>
  <si>
    <t>Realizar seguimiento a las entregas del programa de fomento (Res 1686/2019)</t>
  </si>
  <si>
    <t>Informes de seguimiento a cada proyecto.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</si>
</sst>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.m"/>
    <numFmt numFmtId="165" formatCode="D/M/YYYY"/>
    <numFmt numFmtId="166" formatCode="[$ $]#,##0"/>
  </numFmts>
  <fonts count="28">
    <font>
      <sz val="10.0"/>
      <color rgb="FF000000"/>
      <name val="Arial"/>
    </font>
    <font>
      <b/>
      <color rgb="FFFFFFFF"/>
      <name val="Arial"/>
    </font>
    <font>
      <color theme="1"/>
      <name val="Arial"/>
    </font>
    <font>
      <sz val="11.0"/>
      <color theme="1"/>
      <name val="Arial"/>
    </font>
    <font>
      <b/>
      <sz val="12.0"/>
      <color rgb="FFFFFFFF"/>
      <name val="Merriweather"/>
    </font>
    <font>
      <b/>
      <u/>
      <sz val="12.0"/>
      <color rgb="FFFFFFFF"/>
      <name val="Merriweather"/>
    </font>
    <font>
      <sz val="10.0"/>
      <color theme="1"/>
      <name val="Arial"/>
    </font>
    <font>
      <b/>
      <sz val="10.0"/>
      <color rgb="FFFFFFFF"/>
      <name val="Arial"/>
    </font>
    <font>
      <b/>
      <sz val="10.0"/>
      <color rgb="FFFFFFFF"/>
      <name val="Roboto"/>
    </font>
    <font>
      <b/>
      <color rgb="FF000000"/>
      <name val="Arial"/>
    </font>
    <font>
      <sz val="11.0"/>
      <color rgb="FF000000"/>
      <name val="Inconsolata"/>
    </font>
    <font>
      <color rgb="FF000000"/>
      <name val="Arial"/>
    </font>
    <font>
      <color rgb="FFFF0000"/>
      <name val="Arial"/>
    </font>
    <font>
      <name val="Arial"/>
    </font>
    <font>
      <b/>
      <sz val="11.0"/>
      <color rgb="FFFFFFFF"/>
      <name val="Arial"/>
    </font>
    <font>
      <b/>
      <sz val="11.0"/>
      <color rgb="FFFFFFFF"/>
      <name val="Roboto"/>
    </font>
    <font>
      <sz val="11.0"/>
      <color rgb="FFFFFFFF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FF0000"/>
      <name val="Arial"/>
    </font>
    <font>
      <sz val="11.0"/>
      <color theme="1"/>
      <name val="Work Sans"/>
    </font>
    <font>
      <sz val="11.0"/>
      <color theme="1"/>
      <name val="&quot;Work Sans&quot;"/>
    </font>
    <font>
      <sz val="12.0"/>
      <color theme="1"/>
      <name val="&quot;Work Sans&quot;"/>
    </font>
    <font>
      <sz val="10.0"/>
      <color rgb="FFFF0000"/>
      <name val="Arial"/>
    </font>
    <font>
      <sz val="11.0"/>
      <color rgb="FFFF0000"/>
      <name val="Inconsolata"/>
    </font>
    <font>
      <sz val="11.0"/>
      <color rgb="FF222222"/>
      <name val="&quot;Google Sans&quot;"/>
    </font>
    <font>
      <color theme="1"/>
    </font>
    <font>
      <sz val="11.0"/>
      <color theme="1"/>
      <name val="Inconsolata"/>
    </font>
  </fonts>
  <fills count="20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2888F7"/>
        <bgColor rgb="FF2888F7"/>
      </patternFill>
    </fill>
    <fill>
      <patternFill patternType="solid">
        <fgColor rgb="FF3C78D8"/>
        <bgColor rgb="FF3C78D8"/>
      </patternFill>
    </fill>
    <fill>
      <patternFill patternType="solid">
        <fgColor rgb="FF76A5AF"/>
        <bgColor rgb="FF76A5AF"/>
      </patternFill>
    </fill>
    <fill>
      <patternFill patternType="solid">
        <fgColor rgb="FFF6B26B"/>
        <bgColor rgb="FFF6B26B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4285F4"/>
      </left>
      <right style="thin">
        <color rgb="FFFFFFFF"/>
      </right>
      <top style="medium">
        <color rgb="FF4285F4"/>
      </top>
      <bottom style="thin">
        <color rgb="FF4285F4"/>
      </bottom>
    </border>
    <border>
      <left style="thin">
        <color rgb="FFFFFFFF"/>
      </left>
      <right style="thin">
        <color rgb="FFFFFFFF"/>
      </right>
      <top style="medium">
        <color rgb="FF4285F4"/>
      </top>
      <bottom style="thin">
        <color rgb="FF4285F4"/>
      </bottom>
    </border>
    <border>
      <left style="thin">
        <color rgb="FFFFFFFF"/>
      </left>
      <right style="medium">
        <color rgb="FF4285F4"/>
      </right>
      <top style="medium">
        <color rgb="FF4285F4"/>
      </top>
      <bottom style="thin">
        <color rgb="FF4285F4"/>
      </bottom>
    </border>
    <border>
      <left style="medium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</border>
    <border>
      <left style="thin">
        <color rgb="FF4285F4"/>
      </left>
      <right style="medium">
        <color rgb="FF4285F4"/>
      </right>
      <top style="thin">
        <color rgb="FF4285F4"/>
      </top>
      <bottom style="thin">
        <color rgb="FF4285F4"/>
      </bottom>
    </border>
    <border>
      <left style="medium">
        <color rgb="FF4285F4"/>
      </left>
      <right style="thin">
        <color rgb="FF4285F4"/>
      </right>
      <top style="thin">
        <color rgb="FF4285F4"/>
      </top>
      <bottom style="medium">
        <color rgb="FF4285F4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medium">
        <color rgb="FF4285F4"/>
      </bottom>
    </border>
    <border>
      <left style="thin">
        <color rgb="FF4285F4"/>
      </left>
      <right style="thin">
        <color rgb="FF4285F4"/>
      </right>
      <top style="thin">
        <color rgb="FF4285F4"/>
      </top>
      <bottom style="medium">
        <color rgb="FF4A86E8"/>
      </bottom>
    </border>
    <border>
      <left style="thin">
        <color rgb="FF4285F4"/>
      </left>
      <right style="medium">
        <color rgb="FF4285F4"/>
      </right>
      <top style="thin">
        <color rgb="FF4285F4"/>
      </top>
      <bottom style="medium">
        <color rgb="FF4285F4"/>
      </bottom>
    </border>
    <border>
      <right/>
      <top style="thin">
        <color rgb="FF757070"/>
      </top>
      <bottom style="thin">
        <color rgb="FF757070"/>
      </bottom>
    </border>
  </borders>
  <cellStyleXfs count="1">
    <xf borderId="0" fillId="0" fontId="0" numFmtId="0" applyAlignment="1" applyFont="1"/>
  </cellStyleXfs>
  <cellXfs count="3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3" xfId="0" applyAlignment="1" applyBorder="1" applyFont="1" applyNumberFormat="1">
      <alignment horizontal="center"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left" readingOrder="0"/>
    </xf>
    <xf borderId="1" fillId="3" fontId="2" numFmtId="3" xfId="0" applyAlignment="1" applyBorder="1" applyFill="1" applyFont="1" applyNumberFormat="1">
      <alignment horizontal="right" readingOrder="0"/>
    </xf>
    <xf borderId="1" fillId="0" fontId="2" numFmtId="3" xfId="0" applyAlignment="1" applyBorder="1" applyFont="1" applyNumberFormat="1">
      <alignment horizontal="center" readingOrder="0"/>
    </xf>
    <xf borderId="1" fillId="4" fontId="2" numFmtId="3" xfId="0" applyAlignment="1" applyBorder="1" applyFill="1" applyFont="1" applyNumberFormat="1">
      <alignment horizontal="right"/>
    </xf>
    <xf borderId="1" fillId="5" fontId="2" numFmtId="3" xfId="0" applyAlignment="1" applyBorder="1" applyFill="1" applyFont="1" applyNumberFormat="1">
      <alignment horizontal="right"/>
    </xf>
    <xf borderId="0" fillId="0" fontId="2" numFmtId="0" xfId="0" applyFont="1"/>
    <xf borderId="0" fillId="0" fontId="2" numFmtId="3" xfId="0" applyAlignment="1" applyFont="1" applyNumberFormat="1">
      <alignment readingOrder="0"/>
    </xf>
    <xf borderId="2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1" fillId="3" fontId="2" numFmtId="9" xfId="0" applyAlignment="1" applyBorder="1" applyFont="1" applyNumberFormat="1">
      <alignment horizontal="right" readingOrder="0"/>
    </xf>
    <xf borderId="0" fillId="0" fontId="2" numFmtId="9" xfId="0" applyAlignment="1" applyFont="1" applyNumberFormat="1">
      <alignment horizontal="right" vertical="bottom"/>
    </xf>
    <xf borderId="0" fillId="0" fontId="2" numFmtId="9" xfId="0" applyAlignment="1" applyFont="1" applyNumberFormat="1">
      <alignment readingOrder="0"/>
    </xf>
    <xf borderId="0" fillId="0" fontId="2" numFmtId="3" xfId="0" applyAlignment="1" applyFont="1" applyNumberFormat="1">
      <alignment horizontal="right"/>
    </xf>
    <xf borderId="0" fillId="0" fontId="2" numFmtId="3" xfId="0" applyFont="1" applyNumberFormat="1"/>
    <xf borderId="0" fillId="0" fontId="2" numFmtId="0" xfId="0" applyAlignment="1" applyFont="1">
      <alignment horizontal="right"/>
    </xf>
    <xf borderId="0" fillId="0" fontId="2" numFmtId="0" xfId="0" applyAlignment="1" applyFont="1">
      <alignment readingOrder="0" shrinkToFit="0" vertical="bottom" wrapText="1"/>
    </xf>
    <xf borderId="0" fillId="0" fontId="2" numFmtId="0" xfId="0" applyAlignment="1" applyFont="1">
      <alignment shrinkToFit="0" vertical="bottom" wrapText="1"/>
    </xf>
    <xf borderId="0" fillId="6" fontId="2" numFmtId="0" xfId="0" applyAlignment="1" applyFill="1" applyFont="1">
      <alignment readingOrder="0" shrinkToFit="0" vertical="bottom" wrapText="1"/>
    </xf>
    <xf borderId="0" fillId="6" fontId="2" numFmtId="0" xfId="0" applyAlignment="1" applyFont="1">
      <alignment vertical="bottom"/>
    </xf>
    <xf borderId="0" fillId="7" fontId="2" numFmtId="0" xfId="0" applyAlignment="1" applyFill="1" applyFont="1">
      <alignment readingOrder="0" shrinkToFit="0" vertical="bottom" wrapText="1"/>
    </xf>
    <xf borderId="0" fillId="7" fontId="2" numFmtId="0" xfId="0" applyAlignment="1" applyFont="1">
      <alignment vertical="bottom"/>
    </xf>
    <xf borderId="0" fillId="8" fontId="2" numFmtId="0" xfId="0" applyAlignment="1" applyFill="1" applyFont="1">
      <alignment readingOrder="0" shrinkToFit="0" vertical="bottom" wrapText="1"/>
    </xf>
    <xf borderId="0" fillId="8" fontId="2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 shrinkToFit="0" vertical="bottom" wrapText="1"/>
    </xf>
    <xf borderId="0" fillId="0" fontId="2" numFmtId="164" xfId="0" applyAlignment="1" applyFont="1" applyNumberFormat="1">
      <alignment horizontal="right"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shrinkToFit="0" vertical="center" wrapText="1"/>
    </xf>
    <xf borderId="0" fillId="9" fontId="3" numFmtId="0" xfId="0" applyAlignment="1" applyFill="1" applyFont="1">
      <alignment horizontal="center" shrinkToFit="0" vertical="center" wrapText="1"/>
    </xf>
    <xf borderId="0" fillId="10" fontId="4" numFmtId="0" xfId="0" applyAlignment="1" applyFill="1" applyFont="1">
      <alignment horizontal="center" readingOrder="0" shrinkToFit="0" vertical="center" wrapText="1"/>
    </xf>
    <xf borderId="0" fillId="1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6" numFmtId="165" xfId="0" applyAlignment="1" applyFont="1" applyNumberFormat="1">
      <alignment shrinkToFit="0" vertical="center" wrapText="1"/>
    </xf>
    <xf borderId="0" fillId="0" fontId="6" numFmtId="3" xfId="0" applyAlignment="1" applyFont="1" applyNumberFormat="1">
      <alignment horizontal="center" shrinkToFit="0" vertical="center" wrapText="1"/>
    </xf>
    <xf borderId="0" fillId="0" fontId="6" numFmtId="3" xfId="0" applyAlignment="1" applyFont="1" applyNumberFormat="1">
      <alignment shrinkToFit="0" vertical="center" wrapText="1"/>
    </xf>
    <xf borderId="0" fillId="0" fontId="6" numFmtId="0" xfId="0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3" fillId="11" fontId="7" numFmtId="0" xfId="0" applyAlignment="1" applyBorder="1" applyFill="1" applyFont="1">
      <alignment horizontal="center" shrinkToFit="0" vertical="center" wrapText="1"/>
    </xf>
    <xf borderId="4" fillId="11" fontId="7" numFmtId="165" xfId="0" applyAlignment="1" applyBorder="1" applyFont="1" applyNumberFormat="1">
      <alignment horizontal="center" shrinkToFit="0" vertical="center" wrapText="1"/>
    </xf>
    <xf borderId="4" fillId="11" fontId="7" numFmtId="0" xfId="0" applyAlignment="1" applyBorder="1" applyFont="1">
      <alignment horizontal="center" shrinkToFit="0" vertical="center" wrapText="1"/>
    </xf>
    <xf borderId="4" fillId="11" fontId="8" numFmtId="0" xfId="0" applyAlignment="1" applyBorder="1" applyFont="1">
      <alignment horizontal="center" shrinkToFit="0" vertical="center" wrapText="1"/>
    </xf>
    <xf borderId="4" fillId="11" fontId="7" numFmtId="3" xfId="0" applyAlignment="1" applyBorder="1" applyFont="1" applyNumberFormat="1">
      <alignment horizontal="center" shrinkToFit="0" vertical="center" wrapText="1"/>
    </xf>
    <xf borderId="4" fillId="11" fontId="7" numFmtId="0" xfId="0" applyAlignment="1" applyBorder="1" applyFont="1">
      <alignment horizontal="center" shrinkToFit="0" vertical="center" wrapText="1"/>
    </xf>
    <xf borderId="5" fillId="11" fontId="7" numFmtId="3" xfId="0" applyAlignment="1" applyBorder="1" applyFont="1" applyNumberFormat="1">
      <alignment horizontal="center" shrinkToFit="0" vertical="center" wrapText="1"/>
    </xf>
    <xf borderId="1" fillId="12" fontId="1" numFmtId="0" xfId="0" applyAlignment="1" applyBorder="1" applyFill="1" applyFont="1">
      <alignment horizontal="center" shrinkToFit="0" vertical="center" wrapText="1"/>
    </xf>
    <xf borderId="1" fillId="12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13" fontId="9" numFmtId="0" xfId="0" applyAlignment="1" applyBorder="1" applyFill="1" applyFont="1">
      <alignment horizontal="center" shrinkToFit="0" vertical="center" wrapText="1"/>
    </xf>
    <xf borderId="1" fillId="13" fontId="2" numFmtId="0" xfId="0" applyAlignment="1" applyBorder="1" applyFon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7" fillId="5" fontId="2" numFmtId="49" xfId="0" applyAlignment="1" applyBorder="1" applyFont="1" applyNumberFormat="1">
      <alignment horizontal="left" readingOrder="0" shrinkToFit="0" vertical="center" wrapText="1"/>
    </xf>
    <xf borderId="7" fillId="5" fontId="2" numFmtId="0" xfId="0" applyAlignment="1" applyBorder="1" applyFont="1">
      <alignment horizontal="left" readingOrder="0" shrinkToFit="0" vertical="center" wrapText="1"/>
    </xf>
    <xf borderId="7" fillId="14" fontId="2" numFmtId="0" xfId="0" applyAlignment="1" applyBorder="1" applyFill="1" applyFont="1">
      <alignment horizontal="center" readingOrder="0" shrinkToFit="0" vertical="center" wrapText="1"/>
    </xf>
    <xf borderId="7" fillId="5" fontId="0" numFmtId="0" xfId="0" applyAlignment="1" applyBorder="1" applyFont="1">
      <alignment horizontal="left" readingOrder="0" shrinkToFit="0" vertical="center" wrapText="1"/>
    </xf>
    <xf borderId="7" fillId="5" fontId="2" numFmtId="166" xfId="0" applyAlignment="1" applyBorder="1" applyFont="1" applyNumberFormat="1">
      <alignment readingOrder="0" shrinkToFit="0" vertical="center" wrapText="1"/>
    </xf>
    <xf borderId="7" fillId="5" fontId="6" numFmtId="3" xfId="0" applyAlignment="1" applyBorder="1" applyFont="1" applyNumberFormat="1">
      <alignment horizontal="center" readingOrder="0" shrinkToFit="0" vertical="center" wrapText="1"/>
    </xf>
    <xf borderId="7" fillId="5" fontId="6" numFmtId="9" xfId="0" applyAlignment="1" applyBorder="1" applyFont="1" applyNumberFormat="1">
      <alignment horizontal="center" readingOrder="0" shrinkToFit="0" vertical="center" wrapText="1"/>
    </xf>
    <xf borderId="7" fillId="5" fontId="6" numFmtId="0" xfId="0" applyAlignment="1" applyBorder="1" applyFont="1">
      <alignment horizontal="left" readingOrder="0" shrinkToFit="0" vertical="center" wrapText="1"/>
    </xf>
    <xf borderId="7" fillId="5" fontId="6" numFmtId="166" xfId="0" applyAlignment="1" applyBorder="1" applyFont="1" applyNumberFormat="1">
      <alignment horizontal="left" readingOrder="0" shrinkToFit="0" vertical="center" wrapText="1"/>
    </xf>
    <xf borderId="7" fillId="5" fontId="6" numFmtId="49" xfId="0" applyAlignment="1" applyBorder="1" applyFont="1" applyNumberFormat="1">
      <alignment horizontal="left" readingOrder="0" shrinkToFit="0" vertical="center" wrapText="1"/>
    </xf>
    <xf borderId="7" fillId="5" fontId="6" numFmtId="49" xfId="0" applyAlignment="1" applyBorder="1" applyFont="1" applyNumberFormat="1">
      <alignment horizontal="left" shrinkToFit="0" vertical="center" wrapText="1"/>
    </xf>
    <xf borderId="7" fillId="14" fontId="6" numFmtId="49" xfId="0" applyAlignment="1" applyBorder="1" applyFont="1" applyNumberFormat="1">
      <alignment horizontal="left" shrinkToFit="0" vertical="center" wrapText="1"/>
    </xf>
    <xf borderId="7" fillId="14" fontId="6" numFmtId="165" xfId="0" applyAlignment="1" applyBorder="1" applyFont="1" applyNumberFormat="1">
      <alignment horizontal="left" shrinkToFit="0" vertical="center" wrapText="1"/>
    </xf>
    <xf borderId="8" fillId="14" fontId="6" numFmtId="4" xfId="0" applyAlignment="1" applyBorder="1" applyFont="1" applyNumberFormat="1">
      <alignment shrinkToFit="0" vertical="center" wrapText="1"/>
    </xf>
    <xf borderId="1" fillId="9" fontId="10" numFmtId="0" xfId="0" applyAlignment="1" applyBorder="1" applyFont="1">
      <alignment horizontal="left" readingOrder="0" shrinkToFit="0" vertical="center" wrapText="1"/>
    </xf>
    <xf borderId="1" fillId="9" fontId="10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7" fillId="5" fontId="6" numFmtId="3" xfId="0" applyAlignment="1" applyBorder="1" applyFont="1" applyNumberFormat="1">
      <alignment horizontal="center" shrinkToFit="0" vertical="center" wrapText="1"/>
    </xf>
    <xf borderId="7" fillId="5" fontId="6" numFmtId="0" xfId="0" applyAlignment="1" applyBorder="1" applyFont="1">
      <alignment horizontal="left" shrinkToFit="0" vertical="center" wrapText="1"/>
    </xf>
    <xf borderId="7" fillId="5" fontId="6" numFmtId="166" xfId="0" applyAlignment="1" applyBorder="1" applyFont="1" applyNumberFormat="1">
      <alignment horizontal="left" shrinkToFit="0" vertical="center" wrapText="1"/>
    </xf>
    <xf borderId="7" fillId="5" fontId="6" numFmtId="9" xfId="0" applyAlignment="1" applyBorder="1" applyFont="1" applyNumberFormat="1">
      <alignment horizontal="center" shrinkToFit="0" vertical="center" wrapText="1"/>
    </xf>
    <xf borderId="7" fillId="5" fontId="2" numFmtId="49" xfId="0" applyAlignment="1" applyBorder="1" applyFont="1" applyNumberFormat="1">
      <alignment horizontal="left" shrinkToFit="0" vertical="center" wrapText="1"/>
    </xf>
    <xf borderId="7" fillId="5" fontId="0" numFmtId="0" xfId="0" applyAlignment="1" applyBorder="1" applyFont="1">
      <alignment horizontal="left" shrinkToFit="0" vertical="center" wrapText="1"/>
    </xf>
    <xf borderId="7" fillId="5" fontId="2" numFmtId="166" xfId="0" applyAlignment="1" applyBorder="1" applyFont="1" applyNumberFormat="1">
      <alignment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10" fillId="5" fontId="2" numFmtId="49" xfId="0" applyAlignment="1" applyBorder="1" applyFont="1" applyNumberFormat="1">
      <alignment horizontal="left" shrinkToFit="0" vertical="center" wrapText="1"/>
    </xf>
    <xf borderId="10" fillId="5" fontId="2" numFmtId="0" xfId="0" applyAlignment="1" applyBorder="1" applyFont="1">
      <alignment horizontal="left" readingOrder="0" shrinkToFit="0" vertical="center" wrapText="1"/>
    </xf>
    <xf borderId="10" fillId="14" fontId="2" numFmtId="0" xfId="0" applyAlignment="1" applyBorder="1" applyFont="1">
      <alignment horizontal="center" readingOrder="0" shrinkToFit="0" vertical="center" wrapText="1"/>
    </xf>
    <xf borderId="10" fillId="5" fontId="0" numFmtId="0" xfId="0" applyAlignment="1" applyBorder="1" applyFont="1">
      <alignment horizontal="left" shrinkToFit="0" vertical="center" wrapText="1"/>
    </xf>
    <xf borderId="10" fillId="5" fontId="0" numFmtId="0" xfId="0" applyAlignment="1" applyBorder="1" applyFont="1">
      <alignment horizontal="left" readingOrder="0" shrinkToFit="0" vertical="center" wrapText="1"/>
    </xf>
    <xf borderId="10" fillId="5" fontId="2" numFmtId="166" xfId="0" applyAlignment="1" applyBorder="1" applyFont="1" applyNumberFormat="1">
      <alignment shrinkToFit="0" vertical="center" wrapText="1"/>
    </xf>
    <xf borderId="10" fillId="5" fontId="6" numFmtId="3" xfId="0" applyAlignment="1" applyBorder="1" applyFont="1" applyNumberFormat="1">
      <alignment horizontal="center" shrinkToFit="0" vertical="center" wrapText="1"/>
    </xf>
    <xf borderId="11" fillId="5" fontId="6" numFmtId="3" xfId="0" applyAlignment="1" applyBorder="1" applyFont="1" applyNumberFormat="1">
      <alignment horizontal="center" shrinkToFit="0" vertical="center" wrapText="1"/>
    </xf>
    <xf borderId="10" fillId="5" fontId="6" numFmtId="0" xfId="0" applyAlignment="1" applyBorder="1" applyFont="1">
      <alignment horizontal="left" shrinkToFit="0" vertical="center" wrapText="1"/>
    </xf>
    <xf borderId="10" fillId="5" fontId="6" numFmtId="166" xfId="0" applyAlignment="1" applyBorder="1" applyFont="1" applyNumberFormat="1">
      <alignment horizontal="left" shrinkToFit="0" vertical="center" wrapText="1"/>
    </xf>
    <xf borderId="10" fillId="5" fontId="6" numFmtId="49" xfId="0" applyAlignment="1" applyBorder="1" applyFont="1" applyNumberFormat="1">
      <alignment horizontal="left" shrinkToFit="0" vertical="center" wrapText="1"/>
    </xf>
    <xf borderId="10" fillId="14" fontId="6" numFmtId="49" xfId="0" applyAlignment="1" applyBorder="1" applyFont="1" applyNumberFormat="1">
      <alignment horizontal="left" shrinkToFit="0" vertical="center" wrapText="1"/>
    </xf>
    <xf borderId="10" fillId="14" fontId="6" numFmtId="165" xfId="0" applyAlignment="1" applyBorder="1" applyFont="1" applyNumberFormat="1">
      <alignment horizontal="left" shrinkToFit="0" vertical="center" wrapText="1"/>
    </xf>
    <xf borderId="12" fillId="14" fontId="6" numFmtId="4" xfId="0" applyAlignment="1" applyBorder="1" applyFont="1" applyNumberFormat="1">
      <alignment shrinkToFit="0" vertical="center" wrapText="1"/>
    </xf>
    <xf borderId="0" fillId="0" fontId="6" numFmtId="49" xfId="0" applyFont="1" applyNumberFormat="1"/>
    <xf borderId="0" fillId="0" fontId="6" numFmtId="166" xfId="0" applyFont="1" applyNumberFormat="1"/>
    <xf borderId="0" fillId="0" fontId="6" numFmtId="3" xfId="0" applyFont="1" applyNumberFormat="1"/>
    <xf borderId="0" fillId="0" fontId="6" numFmtId="165" xfId="0" applyFont="1" applyNumberFormat="1"/>
    <xf borderId="0" fillId="0" fontId="6" numFmtId="4" xfId="0" applyFont="1" applyNumberFormat="1"/>
    <xf borderId="7" fillId="15" fontId="6" numFmtId="0" xfId="0" applyAlignment="1" applyBorder="1" applyFill="1" applyFont="1">
      <alignment horizontal="center" readingOrder="0" shrinkToFit="0" vertical="center" wrapText="1"/>
    </xf>
    <xf borderId="7" fillId="5" fontId="6" numFmtId="0" xfId="0" applyAlignment="1" applyBorder="1" applyFont="1">
      <alignment horizontal="center" readingOrder="0" shrinkToFit="0" vertical="center" wrapText="1"/>
    </xf>
    <xf borderId="7" fillId="15" fontId="6" numFmtId="9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/>
    </xf>
    <xf borderId="0" fillId="5" fontId="11" numFmtId="0" xfId="0" applyAlignment="1" applyFont="1">
      <alignment horizontal="left" readingOrder="0"/>
    </xf>
    <xf borderId="7" fillId="5" fontId="6" numFmtId="166" xfId="0" applyAlignment="1" applyBorder="1" applyFont="1" applyNumberFormat="1">
      <alignment horizontal="center" readingOrder="0" shrinkToFit="0" vertical="center" wrapText="1"/>
    </xf>
    <xf borderId="6" fillId="5" fontId="6" numFmtId="0" xfId="0" applyAlignment="1" applyBorder="1" applyFont="1">
      <alignment horizontal="center" readingOrder="0" shrinkToFit="0" vertical="center" wrapText="1"/>
    </xf>
    <xf borderId="7" fillId="5" fontId="6" numFmtId="0" xfId="0" applyAlignment="1" applyBorder="1" applyFont="1">
      <alignment horizontal="center" shrinkToFit="0" vertical="center" wrapText="1"/>
    </xf>
    <xf borderId="10" fillId="5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7" fillId="14" fontId="6" numFmtId="165" xfId="0" applyAlignment="1" applyBorder="1" applyFont="1" applyNumberFormat="1">
      <alignment horizontal="left" readingOrder="0" shrinkToFit="0" vertical="center" wrapText="1"/>
    </xf>
    <xf borderId="7" fillId="5" fontId="12" numFmtId="166" xfId="0" applyAlignment="1" applyBorder="1" applyFont="1" applyNumberFormat="1">
      <alignment readingOrder="0" shrinkToFit="0" vertical="center" wrapText="1"/>
    </xf>
    <xf borderId="7" fillId="16" fontId="6" numFmtId="49" xfId="0" applyAlignment="1" applyBorder="1" applyFill="1" applyFont="1" applyNumberFormat="1">
      <alignment horizontal="left" readingOrder="0" shrinkToFit="0" vertical="center" wrapText="1"/>
    </xf>
    <xf borderId="7" fillId="5" fontId="13" numFmtId="166" xfId="0" applyAlignment="1" applyBorder="1" applyFont="1" applyNumberFormat="1">
      <alignment readingOrder="0" shrinkToFit="0" vertical="center" wrapText="1"/>
    </xf>
    <xf borderId="0" fillId="16" fontId="6" numFmtId="0" xfId="0" applyAlignment="1" applyFont="1">
      <alignment shrinkToFit="0" vertical="center" wrapText="1"/>
    </xf>
    <xf borderId="6" fillId="16" fontId="6" numFmtId="0" xfId="0" applyAlignment="1" applyBorder="1" applyFont="1">
      <alignment horizontal="center" shrinkToFit="0" vertical="center" wrapText="1"/>
    </xf>
    <xf borderId="7" fillId="16" fontId="2" numFmtId="49" xfId="0" applyAlignment="1" applyBorder="1" applyFont="1" applyNumberFormat="1">
      <alignment horizontal="left" readingOrder="0" shrinkToFit="0" vertical="center" wrapText="1"/>
    </xf>
    <xf borderId="7" fillId="16" fontId="2" numFmtId="0" xfId="0" applyAlignment="1" applyBorder="1" applyFont="1">
      <alignment horizontal="left" readingOrder="0" shrinkToFit="0" vertical="center" wrapText="1"/>
    </xf>
    <xf borderId="7" fillId="16" fontId="2" numFmtId="0" xfId="0" applyAlignment="1" applyBorder="1" applyFont="1">
      <alignment horizontal="center" readingOrder="0" shrinkToFit="0" vertical="center" wrapText="1"/>
    </xf>
    <xf borderId="7" fillId="16" fontId="0" numFmtId="0" xfId="0" applyAlignment="1" applyBorder="1" applyFont="1">
      <alignment horizontal="left" readingOrder="0" shrinkToFit="0" vertical="center" wrapText="1"/>
    </xf>
    <xf borderId="7" fillId="16" fontId="2" numFmtId="166" xfId="0" applyAlignment="1" applyBorder="1" applyFont="1" applyNumberFormat="1">
      <alignment readingOrder="0" shrinkToFit="0" vertical="center" wrapText="1"/>
    </xf>
    <xf borderId="7" fillId="16" fontId="6" numFmtId="0" xfId="0" applyAlignment="1" applyBorder="1" applyFont="1">
      <alignment horizontal="center" readingOrder="0" shrinkToFit="0" vertical="center" wrapText="1"/>
    </xf>
    <xf borderId="7" fillId="16" fontId="6" numFmtId="0" xfId="0" applyAlignment="1" applyBorder="1" applyFont="1">
      <alignment horizontal="left" readingOrder="0" shrinkToFit="0" vertical="center" wrapText="1"/>
    </xf>
    <xf borderId="7" fillId="16" fontId="6" numFmtId="166" xfId="0" applyAlignment="1" applyBorder="1" applyFont="1" applyNumberFormat="1">
      <alignment horizontal="left" readingOrder="0" shrinkToFit="0" vertical="center" wrapText="1"/>
    </xf>
    <xf borderId="7" fillId="16" fontId="6" numFmtId="49" xfId="0" applyAlignment="1" applyBorder="1" applyFont="1" applyNumberFormat="1">
      <alignment horizontal="left" shrinkToFit="0" vertical="center" wrapText="1"/>
    </xf>
    <xf borderId="7" fillId="16" fontId="6" numFmtId="165" xfId="0" applyAlignment="1" applyBorder="1" applyFont="1" applyNumberFormat="1">
      <alignment horizontal="left" shrinkToFit="0" vertical="center" wrapText="1"/>
    </xf>
    <xf borderId="8" fillId="16" fontId="6" numFmtId="4" xfId="0" applyAlignment="1" applyBorder="1" applyFont="1" applyNumberFormat="1">
      <alignment shrinkToFit="0" vertical="center" wrapText="1"/>
    </xf>
    <xf borderId="0" fillId="16" fontId="2" numFmtId="0" xfId="0" applyFont="1"/>
    <xf borderId="1" fillId="16" fontId="10" numFmtId="0" xfId="0" applyAlignment="1" applyBorder="1" applyFont="1">
      <alignment horizontal="left" readingOrder="0" shrinkToFit="0" vertical="center" wrapText="1"/>
    </xf>
    <xf borderId="1" fillId="16" fontId="10" numFmtId="0" xfId="0" applyAlignment="1" applyBorder="1" applyFont="1">
      <alignment horizontal="left" shrinkToFit="0" vertical="center" wrapText="1"/>
    </xf>
    <xf borderId="0" fillId="16" fontId="2" numFmtId="0" xfId="0" applyAlignment="1" applyFont="1">
      <alignment horizontal="left" shrinkToFit="0" vertical="center" wrapText="1"/>
    </xf>
    <xf borderId="1" fillId="16" fontId="2" numFmtId="0" xfId="0" applyAlignment="1" applyBorder="1" applyFont="1">
      <alignment horizontal="left" shrinkToFit="0" vertical="center" wrapText="1"/>
    </xf>
    <xf borderId="6" fillId="16" fontId="6" numFmtId="0" xfId="0" applyAlignment="1" applyBorder="1" applyFont="1">
      <alignment horizontal="center" readingOrder="0" shrinkToFit="0" vertical="center" wrapText="1"/>
    </xf>
    <xf borderId="7" fillId="16" fontId="6" numFmtId="3" xfId="0" applyAlignment="1" applyBorder="1" applyFont="1" applyNumberFormat="1">
      <alignment horizontal="center" shrinkToFit="0" vertical="center" wrapText="1"/>
    </xf>
    <xf borderId="7" fillId="16" fontId="6" numFmtId="3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3" numFmtId="3" xfId="0" applyAlignment="1" applyFont="1" applyNumberFormat="1">
      <alignment horizontal="left" shrinkToFit="0" vertical="center" wrapText="1"/>
    </xf>
    <xf borderId="0" fillId="0" fontId="3" numFmtId="3" xfId="0" applyAlignment="1" applyFont="1" applyNumberFormat="1">
      <alignment horizontal="center" shrinkToFit="0" vertical="center" wrapText="1"/>
    </xf>
    <xf borderId="0" fillId="0" fontId="3" numFmtId="165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3" fillId="11" fontId="14" numFmtId="0" xfId="0" applyAlignment="1" applyBorder="1" applyFont="1">
      <alignment horizontal="center" shrinkToFit="0" vertical="center" wrapText="1"/>
    </xf>
    <xf borderId="4" fillId="11" fontId="14" numFmtId="165" xfId="0" applyAlignment="1" applyBorder="1" applyFont="1" applyNumberFormat="1">
      <alignment horizontal="center" shrinkToFit="0" vertical="center" wrapText="1"/>
    </xf>
    <xf borderId="4" fillId="11" fontId="14" numFmtId="0" xfId="0" applyAlignment="1" applyBorder="1" applyFont="1">
      <alignment horizontal="center" shrinkToFit="0" vertical="center" wrapText="1"/>
    </xf>
    <xf borderId="4" fillId="11" fontId="15" numFmtId="0" xfId="0" applyAlignment="1" applyBorder="1" applyFont="1">
      <alignment horizontal="center" shrinkToFit="0" vertical="center" wrapText="1"/>
    </xf>
    <xf borderId="4" fillId="11" fontId="14" numFmtId="3" xfId="0" applyAlignment="1" applyBorder="1" applyFont="1" applyNumberFormat="1">
      <alignment horizontal="center" shrinkToFit="0" vertical="center" wrapText="1"/>
    </xf>
    <xf borderId="4" fillId="11" fontId="14" numFmtId="0" xfId="0" applyAlignment="1" applyBorder="1" applyFont="1">
      <alignment horizontal="center" shrinkToFit="0" vertical="center" wrapText="1"/>
    </xf>
    <xf borderId="4" fillId="11" fontId="16" numFmtId="3" xfId="0" applyAlignment="1" applyBorder="1" applyFont="1" applyNumberFormat="1">
      <alignment horizontal="center" shrinkToFit="0" vertical="center" wrapText="1"/>
    </xf>
    <xf borderId="5" fillId="11" fontId="14" numFmtId="3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" fillId="12" fontId="14" numFmtId="0" xfId="0" applyAlignment="1" applyBorder="1" applyFont="1">
      <alignment horizontal="center" shrinkToFit="0" vertical="center" wrapText="1"/>
    </xf>
    <xf borderId="1" fillId="12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3" fontId="17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13" fontId="17" numFmtId="0" xfId="0" applyAlignment="1" applyBorder="1" applyFont="1">
      <alignment horizontal="center" shrinkToFit="0" vertical="center" wrapText="1"/>
    </xf>
    <xf borderId="1" fillId="13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7" fillId="5" fontId="3" numFmtId="49" xfId="0" applyAlignment="1" applyBorder="1" applyFont="1" applyNumberFormat="1">
      <alignment horizontal="center" readingOrder="0" shrinkToFit="0" vertical="center" wrapText="1"/>
    </xf>
    <xf borderId="7" fillId="5" fontId="3" numFmtId="0" xfId="0" applyAlignment="1" applyBorder="1" applyFont="1">
      <alignment horizontal="center" readingOrder="0" shrinkToFit="0" vertical="center" wrapText="1"/>
    </xf>
    <xf borderId="7" fillId="5" fontId="3" numFmtId="0" xfId="0" applyAlignment="1" applyBorder="1" applyFont="1">
      <alignment horizontal="left" readingOrder="0" shrinkToFit="0" vertical="center" wrapText="1"/>
    </xf>
    <xf borderId="7" fillId="14" fontId="3" numFmtId="0" xfId="0" applyAlignment="1" applyBorder="1" applyFont="1">
      <alignment horizontal="center" readingOrder="0" shrinkToFit="0" vertical="center" wrapText="1"/>
    </xf>
    <xf borderId="7" fillId="5" fontId="18" numFmtId="0" xfId="0" applyAlignment="1" applyBorder="1" applyFont="1">
      <alignment horizontal="left" readingOrder="0" shrinkToFit="0" vertical="center" wrapText="1"/>
    </xf>
    <xf borderId="7" fillId="5" fontId="18" numFmtId="0" xfId="0" applyAlignment="1" applyBorder="1" applyFont="1">
      <alignment horizontal="center" readingOrder="0" shrinkToFit="0" vertical="center" wrapText="1"/>
    </xf>
    <xf borderId="7" fillId="5" fontId="3" numFmtId="166" xfId="0" applyAlignment="1" applyBorder="1" applyFont="1" applyNumberFormat="1">
      <alignment horizontal="center" readingOrder="0" shrinkToFit="0" vertical="center" wrapText="1"/>
    </xf>
    <xf borderId="7" fillId="5" fontId="19" numFmtId="166" xfId="0" applyAlignment="1" applyBorder="1" applyFont="1" applyNumberFormat="1">
      <alignment horizontal="left" readingOrder="0" shrinkToFit="0" vertical="center" wrapText="1"/>
    </xf>
    <xf borderId="7" fillId="5" fontId="3" numFmtId="3" xfId="0" applyAlignment="1" applyBorder="1" applyFont="1" applyNumberFormat="1">
      <alignment horizontal="left" readingOrder="0" shrinkToFit="0" vertical="center" wrapText="1"/>
    </xf>
    <xf borderId="7" fillId="5" fontId="3" numFmtId="3" xfId="0" applyAlignment="1" applyBorder="1" applyFont="1" applyNumberFormat="1">
      <alignment horizontal="center" readingOrder="0" shrinkToFit="0" vertical="center" wrapText="1"/>
    </xf>
    <xf borderId="7" fillId="5" fontId="3" numFmtId="166" xfId="0" applyAlignment="1" applyBorder="1" applyFont="1" applyNumberFormat="1">
      <alignment horizontal="left" readingOrder="0" shrinkToFit="0" vertical="center" wrapText="1"/>
    </xf>
    <xf borderId="7" fillId="5" fontId="3" numFmtId="166" xfId="0" applyAlignment="1" applyBorder="1" applyFont="1" applyNumberFormat="1">
      <alignment horizontal="center" readingOrder="0" shrinkToFit="0" vertical="center" wrapText="1"/>
    </xf>
    <xf borderId="7" fillId="5" fontId="3" numFmtId="49" xfId="0" applyAlignment="1" applyBorder="1" applyFont="1" applyNumberFormat="1">
      <alignment horizontal="left" readingOrder="0" shrinkToFit="0" vertical="center" wrapText="1"/>
    </xf>
    <xf borderId="7" fillId="5" fontId="3" numFmtId="49" xfId="0" applyAlignment="1" applyBorder="1" applyFont="1" applyNumberFormat="1">
      <alignment horizontal="left" shrinkToFit="0" vertical="center" wrapText="1"/>
    </xf>
    <xf borderId="7" fillId="14" fontId="3" numFmtId="49" xfId="0" applyAlignment="1" applyBorder="1" applyFont="1" applyNumberFormat="1">
      <alignment horizontal="left" shrinkToFit="0" vertical="center" wrapText="1"/>
    </xf>
    <xf borderId="7" fillId="14" fontId="3" numFmtId="165" xfId="0" applyAlignment="1" applyBorder="1" applyFont="1" applyNumberFormat="1">
      <alignment horizontal="left" shrinkToFit="0" vertical="center" wrapText="1"/>
    </xf>
    <xf borderId="8" fillId="14" fontId="3" numFmtId="4" xfId="0" applyAlignment="1" applyBorder="1" applyFont="1" applyNumberFormat="1">
      <alignment horizontal="left" shrinkToFit="0" vertical="center" wrapText="1"/>
    </xf>
    <xf borderId="0" fillId="0" fontId="3" numFmtId="0" xfId="0" applyAlignment="1" applyFont="1">
      <alignment horizontal="left"/>
    </xf>
    <xf borderId="1" fillId="0" fontId="3" numFmtId="0" xfId="0" applyAlignment="1" applyBorder="1" applyFont="1">
      <alignment horizontal="left" shrinkToFit="0" vertical="center" wrapText="1"/>
    </xf>
    <xf borderId="6" fillId="5" fontId="3" numFmtId="0" xfId="0" applyAlignment="1" applyBorder="1" applyFont="1">
      <alignment horizontal="center" readingOrder="0" shrinkToFit="0" vertical="center" wrapText="1"/>
    </xf>
    <xf borderId="7" fillId="5" fontId="3" numFmtId="166" xfId="0" applyAlignment="1" applyBorder="1" applyFont="1" applyNumberFormat="1">
      <alignment horizontal="left" readingOrder="0" shrinkToFit="0" vertical="center" wrapText="1"/>
    </xf>
    <xf borderId="7" fillId="5" fontId="3" numFmtId="3" xfId="0" applyAlignment="1" applyBorder="1" applyFont="1" applyNumberFormat="1">
      <alignment horizontal="left" shrinkToFit="0" vertical="center" wrapText="1"/>
    </xf>
    <xf borderId="7" fillId="17" fontId="3" numFmtId="49" xfId="0" applyAlignment="1" applyBorder="1" applyFill="1" applyFont="1" applyNumberFormat="1">
      <alignment horizontal="center" readingOrder="0" shrinkToFit="0" vertical="center" wrapText="1"/>
    </xf>
    <xf borderId="7" fillId="17" fontId="3" numFmtId="0" xfId="0" applyAlignment="1" applyBorder="1" applyFont="1">
      <alignment horizontal="center" readingOrder="0" shrinkToFit="0" vertical="center" wrapText="1"/>
    </xf>
    <xf borderId="7" fillId="17" fontId="3" numFmtId="0" xfId="0" applyAlignment="1" applyBorder="1" applyFont="1">
      <alignment horizontal="left" readingOrder="0" shrinkToFit="0" vertical="center" wrapText="1"/>
    </xf>
    <xf borderId="7" fillId="17" fontId="18" numFmtId="0" xfId="0" applyAlignment="1" applyBorder="1" applyFont="1">
      <alignment horizontal="left" readingOrder="0" shrinkToFit="0" vertical="center" wrapText="1"/>
    </xf>
    <xf borderId="7" fillId="17" fontId="18" numFmtId="0" xfId="0" applyAlignment="1" applyBorder="1" applyFont="1">
      <alignment horizontal="center" readingOrder="0" shrinkToFit="0" vertical="center" wrapText="1"/>
    </xf>
    <xf borderId="7" fillId="17" fontId="3" numFmtId="166" xfId="0" applyAlignment="1" applyBorder="1" applyFont="1" applyNumberFormat="1">
      <alignment horizontal="center" readingOrder="0" shrinkToFit="0" vertical="center" wrapText="1"/>
    </xf>
    <xf borderId="7" fillId="17" fontId="3" numFmtId="166" xfId="0" applyAlignment="1" applyBorder="1" applyFont="1" applyNumberFormat="1">
      <alignment horizontal="left" readingOrder="0" shrinkToFit="0" vertical="center" wrapText="1"/>
    </xf>
    <xf borderId="7" fillId="17" fontId="3" numFmtId="3" xfId="0" applyAlignment="1" applyBorder="1" applyFont="1" applyNumberFormat="1">
      <alignment horizontal="left" shrinkToFit="0" vertical="center" wrapText="1"/>
    </xf>
    <xf borderId="7" fillId="17" fontId="3" numFmtId="3" xfId="0" applyAlignment="1" applyBorder="1" applyFont="1" applyNumberFormat="1">
      <alignment horizontal="center" readingOrder="0" shrinkToFit="0" vertical="center" wrapText="1"/>
    </xf>
    <xf borderId="7" fillId="17" fontId="3" numFmtId="166" xfId="0" applyAlignment="1" applyBorder="1" applyFont="1" applyNumberFormat="1">
      <alignment horizontal="left" readingOrder="0" shrinkToFit="0" vertical="center" wrapText="1"/>
    </xf>
    <xf borderId="7" fillId="17" fontId="3" numFmtId="166" xfId="0" applyAlignment="1" applyBorder="1" applyFont="1" applyNumberFormat="1">
      <alignment horizontal="center" readingOrder="0" shrinkToFit="0" vertical="center" wrapText="1"/>
    </xf>
    <xf borderId="7" fillId="17" fontId="3" numFmtId="49" xfId="0" applyAlignment="1" applyBorder="1" applyFont="1" applyNumberFormat="1">
      <alignment horizontal="left" readingOrder="0" shrinkToFit="0" vertical="center" wrapText="1"/>
    </xf>
    <xf borderId="7" fillId="17" fontId="3" numFmtId="49" xfId="0" applyAlignment="1" applyBorder="1" applyFont="1" applyNumberFormat="1">
      <alignment horizontal="left" shrinkToFit="0" vertical="center" wrapText="1"/>
    </xf>
    <xf borderId="7" fillId="5" fontId="19" numFmtId="3" xfId="0" applyAlignment="1" applyBorder="1" applyFont="1" applyNumberFormat="1">
      <alignment horizontal="center" readingOrder="0" shrinkToFit="0" vertical="center" wrapText="1"/>
    </xf>
    <xf borderId="1" fillId="5" fontId="18" numFmtId="0" xfId="0" applyAlignment="1" applyBorder="1" applyFont="1">
      <alignment horizontal="left" readingOrder="0" shrinkToFit="0" vertical="center" wrapText="1"/>
    </xf>
    <xf borderId="0" fillId="17" fontId="3" numFmtId="166" xfId="0" applyAlignment="1" applyFont="1" applyNumberFormat="1">
      <alignment horizontal="left" readingOrder="0" shrinkToFit="0" vertical="center" wrapText="1"/>
    </xf>
    <xf borderId="13" fillId="17" fontId="20" numFmtId="0" xfId="0" applyAlignment="1" applyBorder="1" applyFont="1">
      <alignment horizontal="left" readingOrder="0" shrinkToFit="0" vertical="center" wrapText="1"/>
    </xf>
    <xf borderId="7" fillId="17" fontId="3" numFmtId="9" xfId="0" applyAlignment="1" applyBorder="1" applyFont="1" applyNumberFormat="1">
      <alignment horizontal="center" readingOrder="0" shrinkToFit="0" vertical="center" wrapText="1"/>
    </xf>
    <xf borderId="6" fillId="18" fontId="3" numFmtId="0" xfId="0" applyAlignment="1" applyBorder="1" applyFill="1" applyFont="1">
      <alignment horizontal="center" shrinkToFit="0" vertical="center" wrapText="1"/>
    </xf>
    <xf borderId="7" fillId="18" fontId="3" numFmtId="49" xfId="0" applyAlignment="1" applyBorder="1" applyFont="1" applyNumberFormat="1">
      <alignment horizontal="center" readingOrder="0" shrinkToFit="0" vertical="center" wrapText="1"/>
    </xf>
    <xf borderId="7" fillId="18" fontId="3" numFmtId="0" xfId="0" applyAlignment="1" applyBorder="1" applyFont="1">
      <alignment horizontal="center" readingOrder="0" shrinkToFit="0" vertical="center" wrapText="1"/>
    </xf>
    <xf borderId="7" fillId="18" fontId="3" numFmtId="0" xfId="0" applyAlignment="1" applyBorder="1" applyFont="1">
      <alignment horizontal="left" readingOrder="0" shrinkToFit="0" vertical="center" wrapText="1"/>
    </xf>
    <xf borderId="7" fillId="18" fontId="18" numFmtId="0" xfId="0" applyAlignment="1" applyBorder="1" applyFont="1">
      <alignment horizontal="left" readingOrder="0" shrinkToFit="0" vertical="center" wrapText="1"/>
    </xf>
    <xf borderId="7" fillId="18" fontId="18" numFmtId="0" xfId="0" applyAlignment="1" applyBorder="1" applyFont="1">
      <alignment horizontal="center" readingOrder="0" shrinkToFit="0" vertical="center" wrapText="1"/>
    </xf>
    <xf borderId="7" fillId="18" fontId="3" numFmtId="166" xfId="0" applyAlignment="1" applyBorder="1" applyFont="1" applyNumberFormat="1">
      <alignment horizontal="center" readingOrder="0" shrinkToFit="0" vertical="center" wrapText="1"/>
    </xf>
    <xf borderId="1" fillId="18" fontId="21" numFmtId="166" xfId="0" applyAlignment="1" applyBorder="1" applyFont="1" applyNumberFormat="1">
      <alignment horizontal="left" shrinkToFit="0" vertical="center" wrapText="1"/>
    </xf>
    <xf borderId="7" fillId="18" fontId="3" numFmtId="3" xfId="0" applyAlignment="1" applyBorder="1" applyFont="1" applyNumberFormat="1">
      <alignment horizontal="left" shrinkToFit="0" vertical="center" wrapText="1"/>
    </xf>
    <xf borderId="7" fillId="18" fontId="3" numFmtId="3" xfId="0" applyAlignment="1" applyBorder="1" applyFont="1" applyNumberFormat="1">
      <alignment horizontal="center" readingOrder="0" shrinkToFit="0" vertical="center" wrapText="1"/>
    </xf>
    <xf borderId="1" fillId="18" fontId="22" numFmtId="0" xfId="0" applyAlignment="1" applyBorder="1" applyFont="1">
      <alignment horizontal="center" shrinkToFit="0" vertical="center" wrapText="1"/>
    </xf>
    <xf borderId="7" fillId="18" fontId="3" numFmtId="166" xfId="0" applyAlignment="1" applyBorder="1" applyFont="1" applyNumberFormat="1">
      <alignment horizontal="left" readingOrder="0" shrinkToFit="0" vertical="center" wrapText="1"/>
    </xf>
    <xf borderId="1" fillId="18" fontId="22" numFmtId="3" xfId="0" applyAlignment="1" applyBorder="1" applyFont="1" applyNumberFormat="1">
      <alignment horizontal="center" vertical="center"/>
    </xf>
    <xf borderId="1" fillId="18" fontId="22" numFmtId="3" xfId="0" applyAlignment="1" applyBorder="1" applyFont="1" applyNumberFormat="1">
      <alignment horizontal="center" readingOrder="0" vertical="center"/>
    </xf>
    <xf borderId="1" fillId="19" fontId="22" numFmtId="3" xfId="0" applyAlignment="1" applyBorder="1" applyFill="1" applyFont="1" applyNumberFormat="1">
      <alignment horizontal="center" vertical="center"/>
    </xf>
    <xf borderId="7" fillId="18" fontId="3" numFmtId="166" xfId="0" applyAlignment="1" applyBorder="1" applyFont="1" applyNumberFormat="1">
      <alignment horizontal="center" readingOrder="0" shrinkToFit="0" vertical="center" wrapText="1"/>
    </xf>
    <xf borderId="7" fillId="18" fontId="3" numFmtId="49" xfId="0" applyAlignment="1" applyBorder="1" applyFont="1" applyNumberFormat="1">
      <alignment horizontal="left" readingOrder="0" shrinkToFit="0" vertical="center" wrapText="1"/>
    </xf>
    <xf borderId="7" fillId="18" fontId="3" numFmtId="49" xfId="0" applyAlignment="1" applyBorder="1" applyFont="1" applyNumberFormat="1">
      <alignment horizontal="left" shrinkToFit="0" vertical="center" wrapText="1"/>
    </xf>
    <xf borderId="6" fillId="18" fontId="3" numFmtId="0" xfId="0" applyAlignment="1" applyBorder="1" applyFont="1">
      <alignment horizontal="center" readingOrder="0" shrinkToFit="0" vertical="center" wrapText="1"/>
    </xf>
    <xf borderId="7" fillId="18" fontId="3" numFmtId="166" xfId="0" applyAlignment="1" applyBorder="1" applyFont="1" applyNumberFormat="1">
      <alignment horizontal="left" readingOrder="0" shrinkToFit="0" vertical="center" wrapText="1"/>
    </xf>
    <xf borderId="7" fillId="5" fontId="3" numFmtId="49" xfId="0" applyAlignment="1" applyBorder="1" applyFont="1" applyNumberFormat="1">
      <alignment horizontal="center" shrinkToFit="0" vertical="center" wrapText="1"/>
    </xf>
    <xf borderId="7" fillId="5" fontId="18" numFmtId="0" xfId="0" applyAlignment="1" applyBorder="1" applyFont="1">
      <alignment horizontal="left" shrinkToFit="0" vertical="center" wrapText="1"/>
    </xf>
    <xf borderId="7" fillId="5" fontId="3" numFmtId="166" xfId="0" applyAlignment="1" applyBorder="1" applyFont="1" applyNumberFormat="1">
      <alignment horizontal="center" shrinkToFit="0" vertical="center" wrapText="1"/>
    </xf>
    <xf borderId="7" fillId="5" fontId="3" numFmtId="166" xfId="0" applyAlignment="1" applyBorder="1" applyFont="1" applyNumberFormat="1">
      <alignment horizontal="left" shrinkToFit="0" vertical="center" wrapText="1"/>
    </xf>
    <xf borderId="7" fillId="5" fontId="3" numFmtId="3" xfId="0" applyAlignment="1" applyBorder="1" applyFont="1" applyNumberFormat="1">
      <alignment horizontal="center" shrinkToFit="0" vertical="center" wrapText="1"/>
    </xf>
    <xf borderId="7" fillId="5" fontId="3" numFmtId="0" xfId="0" applyAlignment="1" applyBorder="1" applyFont="1">
      <alignment horizontal="left" shrinkToFit="0" vertical="center" wrapText="1"/>
    </xf>
    <xf borderId="7" fillId="5" fontId="3" numFmtId="166" xfId="0" applyAlignment="1" applyBorder="1" applyFont="1" applyNumberFormat="1">
      <alignment horizontal="left" shrinkToFit="0" vertical="center" wrapText="1"/>
    </xf>
    <xf borderId="7" fillId="5" fontId="3" numFmtId="0" xfId="0" applyAlignment="1" applyBorder="1" applyFont="1">
      <alignment horizontal="center" shrinkToFit="0" vertical="center" wrapText="1"/>
    </xf>
    <xf borderId="7" fillId="5" fontId="3" numFmtId="166" xfId="0" applyAlignment="1" applyBorder="1" applyFont="1" applyNumberFormat="1">
      <alignment horizontal="center" shrinkToFit="0" vertical="center" wrapText="1"/>
    </xf>
    <xf borderId="9" fillId="5" fontId="3" numFmtId="0" xfId="0" applyAlignment="1" applyBorder="1" applyFont="1">
      <alignment horizontal="center" shrinkToFit="0" vertical="center" wrapText="1"/>
    </xf>
    <xf borderId="10" fillId="5" fontId="3" numFmtId="49" xfId="0" applyAlignment="1" applyBorder="1" applyFont="1" applyNumberFormat="1">
      <alignment horizontal="center" shrinkToFit="0" vertical="center" wrapText="1"/>
    </xf>
    <xf borderId="10" fillId="5" fontId="3" numFmtId="0" xfId="0" applyAlignment="1" applyBorder="1" applyFont="1">
      <alignment horizontal="center" readingOrder="0" shrinkToFit="0" vertical="center" wrapText="1"/>
    </xf>
    <xf borderId="10" fillId="5" fontId="3" numFmtId="0" xfId="0" applyAlignment="1" applyBorder="1" applyFont="1">
      <alignment horizontal="left" readingOrder="0" shrinkToFit="0" vertical="center" wrapText="1"/>
    </xf>
    <xf borderId="10" fillId="14" fontId="3" numFmtId="0" xfId="0" applyAlignment="1" applyBorder="1" applyFont="1">
      <alignment horizontal="center" readingOrder="0" shrinkToFit="0" vertical="center" wrapText="1"/>
    </xf>
    <xf borderId="10" fillId="5" fontId="18" numFmtId="0" xfId="0" applyAlignment="1" applyBorder="1" applyFont="1">
      <alignment horizontal="left" shrinkToFit="0" vertical="center" wrapText="1"/>
    </xf>
    <xf borderId="10" fillId="5" fontId="18" numFmtId="0" xfId="0" applyAlignment="1" applyBorder="1" applyFont="1">
      <alignment horizontal="center" readingOrder="0" shrinkToFit="0" vertical="center" wrapText="1"/>
    </xf>
    <xf borderId="10" fillId="5" fontId="3" numFmtId="166" xfId="0" applyAlignment="1" applyBorder="1" applyFont="1" applyNumberFormat="1">
      <alignment horizontal="center" shrinkToFit="0" vertical="center" wrapText="1"/>
    </xf>
    <xf borderId="10" fillId="5" fontId="3" numFmtId="166" xfId="0" applyAlignment="1" applyBorder="1" applyFont="1" applyNumberFormat="1">
      <alignment horizontal="left" shrinkToFit="0" vertical="center" wrapText="1"/>
    </xf>
    <xf borderId="10" fillId="5" fontId="3" numFmtId="3" xfId="0" applyAlignment="1" applyBorder="1" applyFont="1" applyNumberFormat="1">
      <alignment horizontal="left" shrinkToFit="0" vertical="center" wrapText="1"/>
    </xf>
    <xf borderId="11" fillId="5" fontId="3" numFmtId="3" xfId="0" applyAlignment="1" applyBorder="1" applyFont="1" applyNumberFormat="1">
      <alignment horizontal="center" shrinkToFit="0" vertical="center" wrapText="1"/>
    </xf>
    <xf borderId="10" fillId="5" fontId="3" numFmtId="0" xfId="0" applyAlignment="1" applyBorder="1" applyFont="1">
      <alignment horizontal="left" shrinkToFit="0" vertical="center" wrapText="1"/>
    </xf>
    <xf borderId="10" fillId="5" fontId="3" numFmtId="166" xfId="0" applyAlignment="1" applyBorder="1" applyFont="1" applyNumberFormat="1">
      <alignment horizontal="left" shrinkToFit="0" vertical="center" wrapText="1"/>
    </xf>
    <xf borderId="10" fillId="5" fontId="3" numFmtId="3" xfId="0" applyAlignment="1" applyBorder="1" applyFont="1" applyNumberFormat="1">
      <alignment horizontal="center" shrinkToFit="0" vertical="center" wrapText="1"/>
    </xf>
    <xf borderId="10" fillId="5" fontId="3" numFmtId="0" xfId="0" applyAlignment="1" applyBorder="1" applyFont="1">
      <alignment horizontal="center" shrinkToFit="0" vertical="center" wrapText="1"/>
    </xf>
    <xf borderId="10" fillId="5" fontId="3" numFmtId="166" xfId="0" applyAlignment="1" applyBorder="1" applyFont="1" applyNumberFormat="1">
      <alignment horizontal="center" shrinkToFit="0" vertical="center" wrapText="1"/>
    </xf>
    <xf borderId="10" fillId="5" fontId="3" numFmtId="49" xfId="0" applyAlignment="1" applyBorder="1" applyFont="1" applyNumberFormat="1">
      <alignment horizontal="left" shrinkToFit="0" vertical="center" wrapText="1"/>
    </xf>
    <xf borderId="10" fillId="14" fontId="3" numFmtId="49" xfId="0" applyAlignment="1" applyBorder="1" applyFont="1" applyNumberFormat="1">
      <alignment horizontal="left" shrinkToFit="0" vertical="center" wrapText="1"/>
    </xf>
    <xf borderId="10" fillId="14" fontId="3" numFmtId="165" xfId="0" applyAlignment="1" applyBorder="1" applyFont="1" applyNumberFormat="1">
      <alignment horizontal="left" shrinkToFit="0" vertical="center" wrapText="1"/>
    </xf>
    <xf borderId="12" fillId="14" fontId="3" numFmtId="4" xfId="0" applyAlignment="1" applyBorder="1" applyFont="1" applyNumberFormat="1">
      <alignment horizontal="left" shrinkToFit="0" vertical="center" wrapText="1"/>
    </xf>
    <xf borderId="0" fillId="0" fontId="3" numFmtId="0" xfId="0" applyAlignment="1" applyFont="1">
      <alignment horizontal="center"/>
    </xf>
    <xf borderId="0" fillId="0" fontId="3" numFmtId="49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0" fillId="0" fontId="3" numFmtId="166" xfId="0" applyAlignment="1" applyFont="1" applyNumberFormat="1">
      <alignment horizontal="left"/>
    </xf>
    <xf borderId="0" fillId="0" fontId="3" numFmtId="3" xfId="0" applyAlignment="1" applyFont="1" applyNumberFormat="1">
      <alignment horizontal="left"/>
    </xf>
    <xf borderId="0" fillId="0" fontId="3" numFmtId="3" xfId="0" applyAlignment="1" applyFont="1" applyNumberFormat="1">
      <alignment horizontal="center"/>
    </xf>
    <xf borderId="0" fillId="0" fontId="3" numFmtId="3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left"/>
    </xf>
    <xf borderId="0" fillId="0" fontId="3" numFmtId="165" xfId="0" applyAlignment="1" applyFont="1" applyNumberFormat="1">
      <alignment horizontal="left"/>
    </xf>
    <xf borderId="0" fillId="0" fontId="3" numFmtId="4" xfId="0" applyAlignment="1" applyFont="1" applyNumberFormat="1">
      <alignment horizontal="left"/>
    </xf>
    <xf borderId="7" fillId="5" fontId="23" numFmtId="0" xfId="0" applyAlignment="1" applyBorder="1" applyFont="1">
      <alignment horizontal="left" readingOrder="0" shrinkToFit="0" vertical="center" wrapText="1"/>
    </xf>
    <xf borderId="7" fillId="5" fontId="23" numFmtId="166" xfId="0" applyAlignment="1" applyBorder="1" applyFont="1" applyNumberFormat="1">
      <alignment horizontal="center" readingOrder="0" shrinkToFit="0" vertical="center" wrapText="1"/>
    </xf>
    <xf borderId="0" fillId="0" fontId="23" numFmtId="0" xfId="0" applyAlignment="1" applyFont="1">
      <alignment shrinkToFit="0" vertical="center" wrapText="1"/>
    </xf>
    <xf borderId="6" fillId="5" fontId="23" numFmtId="0" xfId="0" applyAlignment="1" applyBorder="1" applyFont="1">
      <alignment horizontal="center" shrinkToFit="0" vertical="center" wrapText="1"/>
    </xf>
    <xf borderId="7" fillId="5" fontId="12" numFmtId="49" xfId="0" applyAlignment="1" applyBorder="1" applyFont="1" applyNumberFormat="1">
      <alignment horizontal="left" readingOrder="0" shrinkToFit="0" vertical="center" wrapText="1"/>
    </xf>
    <xf borderId="7" fillId="5" fontId="12" numFmtId="0" xfId="0" applyAlignment="1" applyBorder="1" applyFont="1">
      <alignment horizontal="left" readingOrder="0" shrinkToFit="0" vertical="center" wrapText="1"/>
    </xf>
    <xf borderId="7" fillId="14" fontId="12" numFmtId="0" xfId="0" applyAlignment="1" applyBorder="1" applyFont="1">
      <alignment horizontal="center" readingOrder="0" shrinkToFit="0" vertical="center" wrapText="1"/>
    </xf>
    <xf borderId="7" fillId="5" fontId="23" numFmtId="3" xfId="0" applyAlignment="1" applyBorder="1" applyFont="1" applyNumberFormat="1">
      <alignment horizontal="center" shrinkToFit="0" vertical="center" wrapText="1"/>
    </xf>
    <xf borderId="7" fillId="5" fontId="23" numFmtId="3" xfId="0" applyAlignment="1" applyBorder="1" applyFont="1" applyNumberFormat="1">
      <alignment horizontal="center" readingOrder="0" shrinkToFit="0" vertical="center" wrapText="1"/>
    </xf>
    <xf borderId="7" fillId="5" fontId="23" numFmtId="166" xfId="0" applyAlignment="1" applyBorder="1" applyFont="1" applyNumberFormat="1">
      <alignment horizontal="left" readingOrder="0" shrinkToFit="0" vertical="center" wrapText="1"/>
    </xf>
    <xf borderId="7" fillId="5" fontId="23" numFmtId="49" xfId="0" applyAlignment="1" applyBorder="1" applyFont="1" applyNumberFormat="1">
      <alignment horizontal="left" readingOrder="0" shrinkToFit="0" vertical="center" wrapText="1"/>
    </xf>
    <xf borderId="7" fillId="5" fontId="23" numFmtId="49" xfId="0" applyAlignment="1" applyBorder="1" applyFont="1" applyNumberFormat="1">
      <alignment horizontal="left" shrinkToFit="0" vertical="center" wrapText="1"/>
    </xf>
    <xf borderId="7" fillId="14" fontId="23" numFmtId="49" xfId="0" applyAlignment="1" applyBorder="1" applyFont="1" applyNumberFormat="1">
      <alignment horizontal="left" shrinkToFit="0" vertical="center" wrapText="1"/>
    </xf>
    <xf borderId="7" fillId="14" fontId="23" numFmtId="165" xfId="0" applyAlignment="1" applyBorder="1" applyFont="1" applyNumberFormat="1">
      <alignment horizontal="left" shrinkToFit="0" vertical="center" wrapText="1"/>
    </xf>
    <xf borderId="8" fillId="14" fontId="23" numFmtId="4" xfId="0" applyAlignment="1" applyBorder="1" applyFont="1" applyNumberFormat="1">
      <alignment shrinkToFit="0" vertical="center" wrapText="1"/>
    </xf>
    <xf borderId="0" fillId="0" fontId="12" numFmtId="0" xfId="0" applyFont="1"/>
    <xf borderId="1" fillId="9" fontId="24" numFmtId="0" xfId="0" applyAlignment="1" applyBorder="1" applyFont="1">
      <alignment horizontal="left" readingOrder="0" shrinkToFit="0" vertical="center" wrapText="1"/>
    </xf>
    <xf borderId="1" fillId="9" fontId="24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horizontal="left" shrinkToFit="0" vertical="center" wrapText="1"/>
    </xf>
    <xf borderId="1" fillId="0" fontId="12" numFmtId="0" xfId="0" applyAlignment="1" applyBorder="1" applyFont="1">
      <alignment horizontal="left" shrinkToFit="0" vertical="center" wrapText="1"/>
    </xf>
    <xf borderId="7" fillId="5" fontId="6" numFmtId="166" xfId="0" applyAlignment="1" applyBorder="1" applyFont="1" applyNumberFormat="1">
      <alignment horizontal="center" shrinkToFit="0" vertical="center" wrapText="1"/>
    </xf>
    <xf borderId="10" fillId="5" fontId="6" numFmtId="166" xfId="0" applyAlignment="1" applyBorder="1" applyFont="1" applyNumberFormat="1">
      <alignment horizontal="center" shrinkToFit="0" vertical="center" wrapText="1"/>
    </xf>
    <xf borderId="0" fillId="0" fontId="6" numFmtId="166" xfId="0" applyAlignment="1" applyFont="1" applyNumberFormat="1">
      <alignment horizontal="center"/>
    </xf>
    <xf borderId="0" fillId="9" fontId="25" numFmtId="0" xfId="0" applyAlignment="1" applyFont="1">
      <alignment readingOrder="0" vertical="center"/>
    </xf>
    <xf borderId="0" fillId="0" fontId="6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6" numFmtId="49" xfId="0" applyAlignment="1" applyFont="1" applyNumberFormat="1">
      <alignment vertical="center"/>
    </xf>
    <xf borderId="0" fillId="0" fontId="6" numFmtId="166" xfId="0" applyAlignment="1" applyFont="1" applyNumberFormat="1">
      <alignment vertical="center"/>
    </xf>
    <xf borderId="0" fillId="0" fontId="6" numFmtId="3" xfId="0" applyAlignment="1" applyFont="1" applyNumberFormat="1">
      <alignment vertical="center"/>
    </xf>
    <xf borderId="0" fillId="0" fontId="6" numFmtId="165" xfId="0" applyAlignment="1" applyFont="1" applyNumberFormat="1">
      <alignment vertical="center"/>
    </xf>
    <xf borderId="0" fillId="0" fontId="6" numFmtId="4" xfId="0" applyAlignment="1" applyFont="1" applyNumberFormat="1">
      <alignment vertical="center"/>
    </xf>
    <xf borderId="0" fillId="0" fontId="26" numFmtId="0" xfId="0" applyFont="1"/>
    <xf borderId="1" fillId="9" fontId="27" numFmtId="0" xfId="0" applyAlignment="1" applyBorder="1" applyFont="1">
      <alignment horizontal="left" readingOrder="0" shrinkToFit="0" vertical="center" wrapText="1"/>
    </xf>
    <xf borderId="1" fillId="9" fontId="27" numFmtId="0" xfId="0" applyAlignment="1" applyBorder="1" applyFont="1">
      <alignment horizontal="left" shrinkToFit="0" vertical="center" wrapText="1"/>
    </xf>
    <xf borderId="0" fillId="0" fontId="26" numFmtId="0" xfId="0" applyAlignment="1" applyFont="1">
      <alignment horizontal="left" shrinkToFit="0" vertical="center" wrapText="1"/>
    </xf>
    <xf borderId="1" fillId="0" fontId="26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1">
    <dxf>
      <font>
        <b/>
        <color rgb="FFFFFFFF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2" width="16.14"/>
    <col customWidth="1" hidden="1" min="3" max="3" width="14.43"/>
    <col customWidth="1" min="4" max="4" width="20.86"/>
    <col customWidth="1" min="5" max="5" width="22.57"/>
    <col customWidth="1" min="6" max="6" width="26.43"/>
    <col customWidth="1" min="7" max="7" width="17.0"/>
    <col customWidth="1" min="8" max="8" width="11.71"/>
    <col customWidth="1" min="9" max="9" width="17.14"/>
    <col customWidth="1" min="10" max="11" width="14.71"/>
    <col hidden="1" min="12" max="15" width="14.43"/>
    <col customWidth="1" hidden="1" min="16" max="16" width="3.0"/>
  </cols>
  <sheetData>
    <row r="1" ht="24.75" customHeight="1">
      <c r="A1" s="1" t="str">
        <f>IFERROR(__xludf.DUMMYFUNCTION("IMPORTRANGE(""1WTLmxwH2Z-PNqYIatcyMBtI-FLbRLibwI7ram17xRak"",""Tablero!A1:O23"")"),"NOMBRE DEL PROYECTO")</f>
        <v>NOMBRE DEL PROYECTO</v>
      </c>
      <c r="B1" s="1" t="str">
        <f>IFERROR(__xludf.DUMMYFUNCTION("""COMPUTED_VALUE"""),"NOMBRE CORTO DEL PROYECTO")</f>
        <v>NOMBRE CORTO DEL PROYECTO</v>
      </c>
      <c r="C1" s="1" t="str">
        <f>IFERROR(__xludf.DUMMYFUNCTION("""COMPUTED_VALUE"""),"COD BPIN")</f>
        <v>COD BPIN</v>
      </c>
      <c r="D1" s="1" t="str">
        <f>IFERROR(__xludf.DUMMYFUNCTION("""COMPUTED_VALUE"""),"OBJETIVO ESPECÍFICO")</f>
        <v>OBJETIVO ESPECÍFICO</v>
      </c>
      <c r="E1" s="1" t="str">
        <f>IFERROR(__xludf.DUMMYFUNCTION("""COMPUTED_VALUE"""),"PRODUCTO")</f>
        <v>PRODUCTO</v>
      </c>
      <c r="F1" s="1" t="str">
        <f>IFERROR(__xludf.DUMMYFUNCTION("""COMPUTED_VALUE"""),"INDICADOR PRINCIPAL PROD.")</f>
        <v>INDICADOR PRINCIPAL PROD.</v>
      </c>
      <c r="G1" s="1" t="str">
        <f>IFERROR(__xludf.DUMMYFUNCTION("""COMPUTED_VALUE"""),"UNIDAD DE MEDIDA")</f>
        <v>UNIDAD DE MEDIDA</v>
      </c>
      <c r="H1" s="2" t="str">
        <f>IFERROR(__xludf.DUMMYFUNCTION("""COMPUTED_VALUE"""),"META 2020")</f>
        <v>META 2020</v>
      </c>
      <c r="I1" s="2" t="str">
        <f>IFERROR(__xludf.DUMMYFUNCTION("""COMPUTED_VALUE"""),"CATEGORÍA")</f>
        <v>CATEGORÍA</v>
      </c>
      <c r="J1" s="2" t="str">
        <f>IFERROR(__xludf.DUMMYFUNCTION("""COMPUTED_VALUE"""),"META RESTANTE")</f>
        <v>META RESTANTE</v>
      </c>
      <c r="K1" s="1" t="str">
        <f>IFERROR(__xludf.DUMMYFUNCTION("""COMPUTED_VALUE"""),"METAS PACTADAS")</f>
        <v>METAS PACTADAS</v>
      </c>
      <c r="L1" s="3" t="str">
        <f>IFERROR(__xludf.DUMMYFUNCTION("""COMPUTED_VALUE"""),"INDICADOR PRINCIPAL GEST.")</f>
        <v>INDICADOR PRINCIPAL GEST.</v>
      </c>
      <c r="M1" s="3" t="str">
        <f>IFERROR(__xludf.DUMMYFUNCTION("""COMPUTED_VALUE"""),"UNIDAD DE MEDIDA")</f>
        <v>UNIDAD DE MEDIDA</v>
      </c>
      <c r="N1" s="3" t="str">
        <f>IFERROR(__xludf.DUMMYFUNCTION("""COMPUTED_VALUE"""),"META 2020")</f>
        <v>META 2020</v>
      </c>
      <c r="O1" s="3" t="str">
        <f>IFERROR(__xludf.DUMMYFUNCTION("""COMPUTED_VALUE"""),"CATEGORÍA")</f>
        <v>CATEGORÍA</v>
      </c>
      <c r="P1" s="4"/>
    </row>
    <row r="2">
      <c r="A2" s="5" t="str">
        <f>IFERROR(__xludf.DUMMYFUNCTION("""COMPUTED_VALUE"""),"Desarrollo de las actividades de inspección y vigilancia para el mejoramiento del ejercicio de la actividad pesquera y la acuicultura a nivel nacional")</f>
        <v>Desarrollo de las actividades de inspección y vigilancia para el mejoramiento del ejercicio de la actividad pesquera y la acuicultura a nivel nacional</v>
      </c>
      <c r="B2" s="5" t="str">
        <f>IFERROR(__xludf.DUMMYFUNCTION("""COMPUTED_VALUE"""),"Inspección")</f>
        <v>Inspección</v>
      </c>
      <c r="C2" s="5">
        <f>IFERROR(__xludf.DUMMYFUNCTION("""COMPUTED_VALUE"""),2.019011000276E12)</f>
        <v>2019011000276</v>
      </c>
      <c r="D2" s="5" t="str">
        <f>IFERROR(__xludf.DUMMYFUNCTION("""COMPUTED_VALUE"""),"Aumentar el conocimiento de la normatividad pesquera y de la acuicultura por parte de la comunidad.")</f>
        <v>Aumentar el conocimiento de la normatividad pesquera y de la acuicultura por parte de la comunidad.</v>
      </c>
      <c r="E2" s="5" t="str">
        <f>IFERROR(__xludf.DUMMYFUNCTION("""COMPUTED_VALUE"""),"Servicio de divulgación y socialización")</f>
        <v>Servicio de divulgación y socialización</v>
      </c>
      <c r="F2" s="6" t="str">
        <f>IFERROR(__xludf.DUMMYFUNCTION("""COMPUTED_VALUE"""),"170706900 - Eventos realizados")</f>
        <v>170706900 - Eventos realizados</v>
      </c>
      <c r="G2" s="6" t="str">
        <f>IFERROR(__xludf.DUMMYFUNCTION("""COMPUTED_VALUE"""),"Número")</f>
        <v>Número</v>
      </c>
      <c r="H2" s="7">
        <f>IFERROR(__xludf.DUMMYFUNCTION("""COMPUTED_VALUE"""),180.0)</f>
        <v>180</v>
      </c>
      <c r="I2" s="8" t="str">
        <f>IFERROR(__xludf.DUMMYFUNCTION("""COMPUTED_VALUE"""),"Eficacia")</f>
        <v>Eficacia</v>
      </c>
      <c r="J2" s="9">
        <f>IFERROR(__xludf.DUMMYFUNCTION("""COMPUTED_VALUE"""),110.0)</f>
        <v>110</v>
      </c>
      <c r="K2" s="10">
        <f>IFERROR(__xludf.DUMMYFUNCTION("""COMPUTED_VALUE"""),70.0)</f>
        <v>70</v>
      </c>
      <c r="L2" s="11" t="str">
        <f>IFERROR(__xludf.DUMMYFUNCTION("""COMPUTED_VALUE"""),"1100G094 - Operativos de control a la actividad pesquera realizados")</f>
        <v>1100G094 - Operativos de control a la actividad pesquera realizados</v>
      </c>
      <c r="M2" s="11" t="str">
        <f>IFERROR(__xludf.DUMMYFUNCTION("""COMPUTED_VALUE"""),"Número")</f>
        <v>Número</v>
      </c>
      <c r="N2" s="12">
        <f>IFERROR(__xludf.DUMMYFUNCTION("""COMPUTED_VALUE"""),3582.0)</f>
        <v>3582</v>
      </c>
      <c r="O2" s="11" t="str">
        <f>IFERROR(__xludf.DUMMYFUNCTION("""COMPUTED_VALUE"""),"Efectividad")</f>
        <v>Efectividad</v>
      </c>
    </row>
    <row r="3">
      <c r="A3" s="5" t="str">
        <f>IFERROR(__xludf.DUMMYFUNCTION("""COMPUTED_VALUE"""),"Desarrollo de las actividades de inspección y vigilancia para el mejoramiento del ejercicio de la actividad pesquera y la acuicultura a nivel nacional")</f>
        <v>Desarrollo de las actividades de inspección y vigilancia para el mejoramiento del ejercicio de la actividad pesquera y la acuicultura a nivel nacional</v>
      </c>
      <c r="B3" s="5" t="str">
        <f>IFERROR(__xludf.DUMMYFUNCTION("""COMPUTED_VALUE"""),"Inspección")</f>
        <v>Inspección</v>
      </c>
      <c r="C3" s="5">
        <f>IFERROR(__xludf.DUMMYFUNCTION("""COMPUTED_VALUE"""),2.019011000276E12)</f>
        <v>2019011000276</v>
      </c>
      <c r="D3" s="5" t="str">
        <f>IFERROR(__xludf.DUMMYFUNCTION("""COMPUTED_VALUE"""),"Fortalecer los mecanismos de seguimiento y control de la actividad pesquera y de la acuicultura.")</f>
        <v>Fortalecer los mecanismos de seguimiento y control de la actividad pesquera y de la acuicultura.</v>
      </c>
      <c r="E3" s="5" t="str">
        <f>IFERROR(__xludf.DUMMYFUNCTION("""COMPUTED_VALUE"""),"Servicio de inspección, vigilancia y control de la pesca y la acuicultura")</f>
        <v>Servicio de inspección, vigilancia y control de la pesca y la acuicultura</v>
      </c>
      <c r="F3" s="6" t="str">
        <f>IFERROR(__xludf.DUMMYFUNCTION("""COMPUTED_VALUE"""),"170707500 - Operativos de inspección, vigilancia y control realizados")</f>
        <v>170707500 - Operativos de inspección, vigilancia y control realizados</v>
      </c>
      <c r="G3" s="6" t="str">
        <f>IFERROR(__xludf.DUMMYFUNCTION("""COMPUTED_VALUE"""),"Número")</f>
        <v>Número</v>
      </c>
      <c r="H3" s="7">
        <f>IFERROR(__xludf.DUMMYFUNCTION("""COMPUTED_VALUE"""),3582.0)</f>
        <v>3582</v>
      </c>
      <c r="I3" s="8" t="str">
        <f>IFERROR(__xludf.DUMMYFUNCTION("""COMPUTED_VALUE"""),"Eficacia")</f>
        <v>Eficacia</v>
      </c>
      <c r="J3" s="9">
        <f>IFERROR(__xludf.DUMMYFUNCTION("""COMPUTED_VALUE"""),157.0)</f>
        <v>157</v>
      </c>
      <c r="K3" s="10">
        <f>IFERROR(__xludf.DUMMYFUNCTION("""COMPUTED_VALUE"""),3425.0)</f>
        <v>3425</v>
      </c>
      <c r="L3" s="11"/>
      <c r="M3" s="11"/>
      <c r="N3" s="11"/>
      <c r="O3" s="11"/>
    </row>
    <row r="4">
      <c r="A4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4" s="5" t="str">
        <f>IFERROR(__xludf.DUMMYFUNCTION("""COMPUTED_VALUE"""),"Sostenibilidad")</f>
        <v>Sostenibilidad</v>
      </c>
      <c r="C4" s="5">
        <f>IFERROR(__xludf.DUMMYFUNCTION("""COMPUTED_VALUE"""),2.01901100028E12)</f>
        <v>2019011000280</v>
      </c>
      <c r="D4" s="5" t="str">
        <f>IFERROR(__xludf.DUMMYFUNCTION("""COMPUTED_VALUE"""),"Mejorar la explotación de los recursos pesqueros y de la acuicultura.")</f>
        <v>Mejorar la explotación de los recursos pesqueros y de la acuicultura.</v>
      </c>
      <c r="E4" s="6" t="str">
        <f>IFERROR(__xludf.DUMMYFUNCTION("""COMPUTED_VALUE"""),"Servicios de administración de los recurso pesqueros y de la acuicultura")</f>
        <v>Servicios de administración de los recurso pesqueros y de la acuicultura</v>
      </c>
      <c r="F4" s="6" t="str">
        <f>IFERROR(__xludf.DUMMYFUNCTION("""COMPUTED_VALUE"""),"170707200 - Trámites atendidos")</f>
        <v>170707200 - Trámites atendidos</v>
      </c>
      <c r="G4" s="6" t="str">
        <f>IFERROR(__xludf.DUMMYFUNCTION("""COMPUTED_VALUE"""),"Número")</f>
        <v>Número</v>
      </c>
      <c r="H4" s="7">
        <f>IFERROR(__xludf.DUMMYFUNCTION("""COMPUTED_VALUE"""),11000.0)</f>
        <v>11000</v>
      </c>
      <c r="I4" s="8" t="str">
        <f>IFERROR(__xludf.DUMMYFUNCTION("""COMPUTED_VALUE"""),"Eficacia")</f>
        <v>Eficacia</v>
      </c>
      <c r="J4" s="9">
        <f>IFERROR(__xludf.DUMMYFUNCTION("""COMPUTED_VALUE"""),-7140.0)</f>
        <v>-7140</v>
      </c>
      <c r="K4" s="10">
        <f>IFERROR(__xludf.DUMMYFUNCTION("""COMPUTED_VALUE"""),18140.0)</f>
        <v>18140</v>
      </c>
      <c r="L4" s="11" t="str">
        <f>IFERROR(__xludf.DUMMYFUNCTION("""COMPUTED_VALUE"""),"1100G149 - Actos Administrativos Notificados")</f>
        <v>1100G149 - Actos Administrativos Notificados</v>
      </c>
      <c r="M4" s="11" t="str">
        <f>IFERROR(__xludf.DUMMYFUNCTION("""COMPUTED_VALUE"""),"Número")</f>
        <v>Número</v>
      </c>
      <c r="N4" s="11">
        <f>IFERROR(__xludf.DUMMYFUNCTION("""COMPUTED_VALUE"""),15.0)</f>
        <v>15</v>
      </c>
      <c r="O4" s="11" t="str">
        <f>IFERROR(__xludf.DUMMYFUNCTION("""COMPUTED_VALUE"""),"Efectividad")</f>
        <v>Efectividad</v>
      </c>
    </row>
    <row r="5">
      <c r="A5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5" s="5" t="str">
        <f>IFERROR(__xludf.DUMMYFUNCTION("""COMPUTED_VALUE"""),"Sostenibilidad")</f>
        <v>Sostenibilidad</v>
      </c>
      <c r="C5" s="5">
        <f>IFERROR(__xludf.DUMMYFUNCTION("""COMPUTED_VALUE"""),2.01901100028E12)</f>
        <v>2019011000280</v>
      </c>
      <c r="D5" s="5" t="str">
        <f>IFERROR(__xludf.DUMMYFUNCTION("""COMPUTED_VALUE"""),"Mejorar la explotación de los recursos pesqueros y de la acuicultura.")</f>
        <v>Mejorar la explotación de los recursos pesqueros y de la acuicultura.</v>
      </c>
      <c r="E5" s="5" t="str">
        <f>IFERROR(__xludf.DUMMYFUNCTION("""COMPUTED_VALUE"""),"Servicio de ordenación pesquera y de la acuicultura")</f>
        <v>Servicio de ordenación pesquera y de la acuicultura</v>
      </c>
      <c r="F5" s="6" t="str">
        <f>IFERROR(__xludf.DUMMYFUNCTION("""COMPUTED_VALUE"""),"170707600 - Acuerdos de ordenacion atendidos")</f>
        <v>170707600 - Acuerdos de ordenacion atendidos</v>
      </c>
      <c r="G5" s="6" t="str">
        <f>IFERROR(__xludf.DUMMYFUNCTION("""COMPUTED_VALUE"""),"Número")</f>
        <v>Número</v>
      </c>
      <c r="H5" s="7">
        <f>IFERROR(__xludf.DUMMYFUNCTION("""COMPUTED_VALUE"""),15.0)</f>
        <v>15</v>
      </c>
      <c r="I5" s="8" t="str">
        <f>IFERROR(__xludf.DUMMYFUNCTION("""COMPUTED_VALUE"""),"Eficacia")</f>
        <v>Eficacia</v>
      </c>
      <c r="J5" s="9">
        <f>IFERROR(__xludf.DUMMYFUNCTION("""COMPUTED_VALUE"""),-3.0)</f>
        <v>-3</v>
      </c>
      <c r="K5" s="10">
        <f>IFERROR(__xludf.DUMMYFUNCTION("""COMPUTED_VALUE"""),18.0)</f>
        <v>18</v>
      </c>
      <c r="L5" s="11"/>
      <c r="M5" s="11"/>
      <c r="N5" s="11"/>
      <c r="O5" s="11"/>
    </row>
    <row r="6">
      <c r="A6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6" s="5" t="str">
        <f>IFERROR(__xludf.DUMMYFUNCTION("""COMPUTED_VALUE"""),"Sostenibilidad")</f>
        <v>Sostenibilidad</v>
      </c>
      <c r="C6" s="5">
        <f>IFERROR(__xludf.DUMMYFUNCTION("""COMPUTED_VALUE"""),2.01901100028E12)</f>
        <v>2019011000280</v>
      </c>
      <c r="D6" s="5" t="str">
        <f>IFERROR(__xludf.DUMMYFUNCTION("""COMPUTED_VALUE"""),"Mejorar las prácticas de pesca y de acuicultura.")</f>
        <v>Mejorar las prácticas de pesca y de acuicultura.</v>
      </c>
      <c r="E6" s="5" t="str">
        <f>IFERROR(__xludf.DUMMYFUNCTION("""COMPUTED_VALUE"""),"Servicios de apoyo al fomento de la pesca y la acuicultura")</f>
        <v>Servicios de apoyo al fomento de la pesca y la acuicultura</v>
      </c>
      <c r="F6" s="6" t="str">
        <f>IFERROR(__xludf.DUMMYFUNCTION("""COMPUTED_VALUE"""),"170707300 - Organizaciones atendidas")</f>
        <v>170707300 - Organizaciones atendidas</v>
      </c>
      <c r="G6" s="6" t="str">
        <f>IFERROR(__xludf.DUMMYFUNCTION("""COMPUTED_VALUE"""),"Número")</f>
        <v>Número</v>
      </c>
      <c r="H6" s="7">
        <f>IFERROR(__xludf.DUMMYFUNCTION("""COMPUTED_VALUE"""),140.0)</f>
        <v>140</v>
      </c>
      <c r="I6" s="8" t="str">
        <f>IFERROR(__xludf.DUMMYFUNCTION("""COMPUTED_VALUE"""),"Eficacia")</f>
        <v>Eficacia</v>
      </c>
      <c r="J6" s="9">
        <f>IFERROR(__xludf.DUMMYFUNCTION("""COMPUTED_VALUE"""),-61.0)</f>
        <v>-61</v>
      </c>
      <c r="K6" s="10">
        <f>IFERROR(__xludf.DUMMYFUNCTION("""COMPUTED_VALUE"""),201.0)</f>
        <v>201</v>
      </c>
      <c r="L6" s="11"/>
      <c r="M6" s="11"/>
      <c r="N6" s="11"/>
      <c r="O6" s="11"/>
    </row>
    <row r="7">
      <c r="A7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7" s="5" t="str">
        <f>IFERROR(__xludf.DUMMYFUNCTION("""COMPUTED_VALUE"""),"Sostenibilidad")</f>
        <v>Sostenibilidad</v>
      </c>
      <c r="C7" s="5">
        <f>IFERROR(__xludf.DUMMYFUNCTION("""COMPUTED_VALUE"""),2.01901100028E12)</f>
        <v>2019011000280</v>
      </c>
      <c r="D7" s="5" t="str">
        <f>IFERROR(__xludf.DUMMYFUNCTION("""COMPUTED_VALUE"""),"Mejorar las prácticas de pesca y de acuicultura.")</f>
        <v>Mejorar las prácticas de pesca y de acuicultura.</v>
      </c>
      <c r="E7" s="5" t="str">
        <f>IFERROR(__xludf.DUMMYFUNCTION("""COMPUTED_VALUE"""),"1-Servicios de apoyo a las estaciones de acuicultura")</f>
        <v>1-Servicios de apoyo a las estaciones de acuicultura</v>
      </c>
      <c r="F7" s="6" t="str">
        <f>IFERROR(__xludf.DUMMYFUNCTION("""COMPUTED_VALUE"""),"170707400 - Estaciones de acuicultura apoyadas")</f>
        <v>170707400 - Estaciones de acuicultura apoyadas</v>
      </c>
      <c r="G7" s="6" t="str">
        <f>IFERROR(__xludf.DUMMYFUNCTION("""COMPUTED_VALUE"""),"Número")</f>
        <v>Número</v>
      </c>
      <c r="H7" s="7">
        <f>IFERROR(__xludf.DUMMYFUNCTION("""COMPUTED_VALUE"""),3.0)</f>
        <v>3</v>
      </c>
      <c r="I7" s="8" t="str">
        <f>IFERROR(__xludf.DUMMYFUNCTION("""COMPUTED_VALUE"""),"Eficacia")</f>
        <v>Eficacia</v>
      </c>
      <c r="J7" s="9">
        <f>IFERROR(__xludf.DUMMYFUNCTION("""COMPUTED_VALUE"""),-1.0)</f>
        <v>-1</v>
      </c>
      <c r="K7" s="10">
        <f>IFERROR(__xludf.DUMMYFUNCTION("""COMPUTED_VALUE"""),4.0)</f>
        <v>4</v>
      </c>
      <c r="L7" s="11"/>
      <c r="M7" s="11"/>
      <c r="N7" s="11"/>
      <c r="O7" s="11"/>
    </row>
    <row r="8">
      <c r="A8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8" s="5" t="str">
        <f>IFERROR(__xludf.DUMMYFUNCTION("""COMPUTED_VALUE"""),"Sostenibilidad")</f>
        <v>Sostenibilidad</v>
      </c>
      <c r="C8" s="5">
        <f>IFERROR(__xludf.DUMMYFUNCTION("""COMPUTED_VALUE"""),2.01901100028E12)</f>
        <v>2019011000280</v>
      </c>
      <c r="D8" s="5" t="str">
        <f>IFERROR(__xludf.DUMMYFUNCTION("""COMPUTED_VALUE"""),"Mejorar las prácticas de pesca y de acuicultura.")</f>
        <v>Mejorar las prácticas de pesca y de acuicultura.</v>
      </c>
      <c r="E8" s="5" t="str">
        <f>IFERROR(__xludf.DUMMYFUNCTION("""COMPUTED_VALUE"""),"2-Servicios de apoyo a las estaciones de acuicultura")</f>
        <v>2-Servicios de apoyo a las estaciones de acuicultura</v>
      </c>
      <c r="F8" s="6" t="str">
        <f>IFERROR(__xludf.DUMMYFUNCTION("""COMPUTED_VALUE"""),"170707401 - Alevinos producidos")</f>
        <v>170707401 - Alevinos producidos</v>
      </c>
      <c r="G8" s="6" t="str">
        <f>IFERROR(__xludf.DUMMYFUNCTION("""COMPUTED_VALUE"""),"Número")</f>
        <v>Número</v>
      </c>
      <c r="H8" s="7">
        <f>IFERROR(__xludf.DUMMYFUNCTION("""COMPUTED_VALUE"""),1.8E7)</f>
        <v>18000000</v>
      </c>
      <c r="I8" s="8" t="str">
        <f>IFERROR(__xludf.DUMMYFUNCTION("""COMPUTED_VALUE"""),"Eficacia")</f>
        <v>Eficacia</v>
      </c>
      <c r="J8" s="9">
        <f>IFERROR(__xludf.DUMMYFUNCTION("""COMPUTED_VALUE"""),-120000.0)</f>
        <v>-120000</v>
      </c>
      <c r="K8" s="10">
        <f>IFERROR(__xludf.DUMMYFUNCTION("""COMPUTED_VALUE"""),1.812E7)</f>
        <v>18120000</v>
      </c>
      <c r="L8" s="11"/>
      <c r="M8" s="11"/>
      <c r="N8" s="11"/>
      <c r="O8" s="11"/>
    </row>
    <row r="9">
      <c r="A9" s="5" t="str">
        <f>IFERROR(__xludf.DUMMYFUNCTION("""COMPUTED_VALUE"""),"Fortalecimiento de la sostenibilidad del sector pesquero y de la acuicultura en el territorio nacional")</f>
        <v>Fortalecimiento de la sostenibilidad del sector pesquero y de la acuicultura en el territorio nacional</v>
      </c>
      <c r="B9" s="5" t="str">
        <f>IFERROR(__xludf.DUMMYFUNCTION("""COMPUTED_VALUE"""),"Sostenibilidad")</f>
        <v>Sostenibilidad</v>
      </c>
      <c r="C9" s="5">
        <f>IFERROR(__xludf.DUMMYFUNCTION("""COMPUTED_VALUE"""),2.01901100028E12)</f>
        <v>2019011000280</v>
      </c>
      <c r="D9" s="5" t="str">
        <f>IFERROR(__xludf.DUMMYFUNCTION("""COMPUTED_VALUE"""),"Mejorar las prácticas de pesca y de acuicultura.")</f>
        <v>Mejorar las prácticas de pesca y de acuicultura.</v>
      </c>
      <c r="E9" s="5" t="str">
        <f>IFERROR(__xludf.DUMMYFUNCTION("""COMPUTED_VALUE"""),"3-Servicios de apoyo a las estaciones de acuicultura")</f>
        <v>3-Servicios de apoyo a las estaciones de acuicultura</v>
      </c>
      <c r="F9" s="6" t="str">
        <f>IFERROR(__xludf.DUMMYFUNCTION("""COMPUTED_VALUE"""),"170707402 - Eventos realizados")</f>
        <v>170707402 - Eventos realizados</v>
      </c>
      <c r="G9" s="6" t="str">
        <f>IFERROR(__xludf.DUMMYFUNCTION("""COMPUTED_VALUE"""),"Número")</f>
        <v>Número</v>
      </c>
      <c r="H9" s="7">
        <f>IFERROR(__xludf.DUMMYFUNCTION("""COMPUTED_VALUE"""),15.0)</f>
        <v>15</v>
      </c>
      <c r="I9" s="8" t="str">
        <f>IFERROR(__xludf.DUMMYFUNCTION("""COMPUTED_VALUE"""),"Eficacia")</f>
        <v>Eficacia</v>
      </c>
      <c r="J9" s="9">
        <f>IFERROR(__xludf.DUMMYFUNCTION("""COMPUTED_VALUE"""),-1.0)</f>
        <v>-1</v>
      </c>
      <c r="K9" s="10">
        <f>IFERROR(__xludf.DUMMYFUNCTION("""COMPUTED_VALUE"""),16.0)</f>
        <v>16</v>
      </c>
      <c r="L9" s="11"/>
      <c r="M9" s="11"/>
      <c r="N9" s="11"/>
      <c r="O9" s="11"/>
    </row>
    <row r="10">
      <c r="A10" s="5" t="str">
        <f>IFERROR(__xludf.DUMMYFUNCTION("""COMPUTED_VALUE"""),"Fortalecimiento del servicio estadístico pesquero colombiano a nivel nacional")</f>
        <v>Fortalecimiento del servicio estadístico pesquero colombiano a nivel nacional</v>
      </c>
      <c r="B10" s="5" t="str">
        <f>IFERROR(__xludf.DUMMYFUNCTION("""COMPUTED_VALUE"""),"Sepec")</f>
        <v>Sepec</v>
      </c>
      <c r="C10" s="5">
        <f>IFERROR(__xludf.DUMMYFUNCTION("""COMPUTED_VALUE"""),2.019011000275E12)</f>
        <v>2019011000275</v>
      </c>
      <c r="D10" s="5" t="str">
        <f>IFERROR(__xludf.DUMMYFUNCTION("""COMPUTED_VALUE"""),"Fortalecer el proceso de sistematización de la información estadística de la actividad pesquera y de la acuicultura.")</f>
        <v>Fortalecer el proceso de sistematización de la información estadística de la actividad pesquera y de la acuicultura.</v>
      </c>
      <c r="E10" s="5" t="str">
        <f>IFERROR(__xludf.DUMMYFUNCTION("""COMPUTED_VALUE"""),"Servicio de información actualizado")</f>
        <v>Servicio de información actualizado</v>
      </c>
      <c r="F10" s="6" t="str">
        <f>IFERROR(__xludf.DUMMYFUNCTION("""COMPUTED_VALUE"""),"170805100 - Sistemas de información actualizados")</f>
        <v>170805100 - Sistemas de información actualizados</v>
      </c>
      <c r="G10" s="6" t="str">
        <f>IFERROR(__xludf.DUMMYFUNCTION("""COMPUTED_VALUE"""),"Número")</f>
        <v>Número</v>
      </c>
      <c r="H10" s="7">
        <f>IFERROR(__xludf.DUMMYFUNCTION("""COMPUTED_VALUE"""),1.0)</f>
        <v>1</v>
      </c>
      <c r="I10" s="8" t="str">
        <f>IFERROR(__xludf.DUMMYFUNCTION("""COMPUTED_VALUE"""),"Eficacia")</f>
        <v>Eficacia</v>
      </c>
      <c r="J10" s="9">
        <f>IFERROR(__xludf.DUMMYFUNCTION("""COMPUTED_VALUE"""),1.0)</f>
        <v>1</v>
      </c>
      <c r="K10" s="10">
        <f>IFERROR(__xludf.DUMMYFUNCTION("""COMPUTED_VALUE"""),0.0)</f>
        <v>0</v>
      </c>
      <c r="L10" s="13" t="str">
        <f>IFERROR(__xludf.DUMMYFUNCTION("""COMPUTED_VALUE"""),"2100G116 - Bases de datos Actualizadas")</f>
        <v>2100G116 - Bases de datos Actualizadas</v>
      </c>
      <c r="M10" s="14" t="str">
        <f>IFERROR(__xludf.DUMMYFUNCTION("""COMPUTED_VALUE"""),"Número")</f>
        <v>Número</v>
      </c>
      <c r="N10" s="15">
        <f>IFERROR(__xludf.DUMMYFUNCTION("""COMPUTED_VALUE"""),10.0)</f>
        <v>10</v>
      </c>
      <c r="O10" s="14" t="str">
        <f>IFERROR(__xludf.DUMMYFUNCTION("""COMPUTED_VALUE"""),"Efectividad")</f>
        <v>Efectividad</v>
      </c>
    </row>
    <row r="11">
      <c r="A11" s="5" t="str">
        <f>IFERROR(__xludf.DUMMYFUNCTION("""COMPUTED_VALUE"""),"Fortalecimiento del servicio estadístico pesquero colombiano a nivel nacional")</f>
        <v>Fortalecimiento del servicio estadístico pesquero colombiano a nivel nacional</v>
      </c>
      <c r="B11" s="5" t="str">
        <f>IFERROR(__xludf.DUMMYFUNCTION("""COMPUTED_VALUE"""),"Sepec")</f>
        <v>Sepec</v>
      </c>
      <c r="C11" s="5">
        <f>IFERROR(__xludf.DUMMYFUNCTION("""COMPUTED_VALUE"""),2.019011000275E12)</f>
        <v>2019011000275</v>
      </c>
      <c r="D11" s="5" t="str">
        <f>IFERROR(__xludf.DUMMYFUNCTION("""COMPUTED_VALUE"""),"Fortalecer los mecanismos de recolección y análisis de la información estadística de la actividad pesquera y de la acuicultura.")</f>
        <v>Fortalecer los mecanismos de recolección y análisis de la información estadística de la actividad pesquera y de la acuicultura.</v>
      </c>
      <c r="E11" s="5" t="str">
        <f>IFERROR(__xludf.DUMMYFUNCTION("""COMPUTED_VALUE"""),"Servicio de gestión de información para la planificación pesquera y de la acuicultura")</f>
        <v>Servicio de gestión de información para la planificación pesquera y de la acuicultura</v>
      </c>
      <c r="F11" s="6" t="str">
        <f>IFERROR(__xludf.DUMMYFUNCTION("""COMPUTED_VALUE"""),"170805000 - Bases de datos producidos")</f>
        <v>170805000 - Bases de datos producidos</v>
      </c>
      <c r="G11" s="6" t="str">
        <f>IFERROR(__xludf.DUMMYFUNCTION("""COMPUTED_VALUE"""),"Número")</f>
        <v>Número</v>
      </c>
      <c r="H11" s="7">
        <f>IFERROR(__xludf.DUMMYFUNCTION("""COMPUTED_VALUE"""),10.0)</f>
        <v>10</v>
      </c>
      <c r="I11" s="8" t="str">
        <f>IFERROR(__xludf.DUMMYFUNCTION("""COMPUTED_VALUE"""),"Eficacia")</f>
        <v>Eficacia</v>
      </c>
      <c r="J11" s="9">
        <f>IFERROR(__xludf.DUMMYFUNCTION("""COMPUTED_VALUE"""),10.0)</f>
        <v>10</v>
      </c>
      <c r="K11" s="10">
        <f>IFERROR(__xludf.DUMMYFUNCTION("""COMPUTED_VALUE"""),0.0)</f>
        <v>0</v>
      </c>
      <c r="L11" s="11"/>
      <c r="M11" s="11"/>
      <c r="N11" s="11"/>
      <c r="O11" s="11"/>
    </row>
    <row r="12">
      <c r="A12" s="5" t="str">
        <f>IFERROR(__xludf.DUMMYFUNCTION("""COMPUTED_VALUE"""),"Fortalecimiento del servicio estadístico pesquero colombiano a nivel nacional")</f>
        <v>Fortalecimiento del servicio estadístico pesquero colombiano a nivel nacional</v>
      </c>
      <c r="B12" s="5" t="str">
        <f>IFERROR(__xludf.DUMMYFUNCTION("""COMPUTED_VALUE"""),"Sepec")</f>
        <v>Sepec</v>
      </c>
      <c r="C12" s="5">
        <f>IFERROR(__xludf.DUMMYFUNCTION("""COMPUTED_VALUE"""),2.019011000275E12)</f>
        <v>2019011000275</v>
      </c>
      <c r="D12" s="5" t="str">
        <f>IFERROR(__xludf.DUMMYFUNCTION("""COMPUTED_VALUE"""),"Fortalecer los mecanismos de recolección y análisis de la información estadística de la actividad pesquera y de la acuicultura.")</f>
        <v>Fortalecer los mecanismos de recolección y análisis de la información estadística de la actividad pesquera y de la acuicultura.</v>
      </c>
      <c r="E12" s="5" t="str">
        <f>IFERROR(__xludf.DUMMYFUNCTION("""COMPUTED_VALUE"""),"_Servicio de análisis de Información para la planificación pesquera y de la acuicultura")</f>
        <v>_Servicio de análisis de Información para la planificación pesquera y de la acuicultura</v>
      </c>
      <c r="F12" s="6" t="str">
        <f>IFERROR(__xludf.DUMMYFUNCTION("""COMPUTED_VALUE"""),"170804900 - Análisis generados")</f>
        <v>170804900 - Análisis generados</v>
      </c>
      <c r="G12" s="6" t="str">
        <f>IFERROR(__xludf.DUMMYFUNCTION("""COMPUTED_VALUE"""),"Número")</f>
        <v>Número</v>
      </c>
      <c r="H12" s="7">
        <f>IFERROR(__xludf.DUMMYFUNCTION("""COMPUTED_VALUE"""),8.0)</f>
        <v>8</v>
      </c>
      <c r="I12" s="8" t="str">
        <f>IFERROR(__xludf.DUMMYFUNCTION("""COMPUTED_VALUE"""),"Eficacia")</f>
        <v>Eficacia</v>
      </c>
      <c r="J12" s="9">
        <f>IFERROR(__xludf.DUMMYFUNCTION("""COMPUTED_VALUE"""),3.0)</f>
        <v>3</v>
      </c>
      <c r="K12" s="10">
        <f>IFERROR(__xludf.DUMMYFUNCTION("""COMPUTED_VALUE"""),5.0)</f>
        <v>5</v>
      </c>
      <c r="L12" s="11"/>
      <c r="M12" s="11"/>
      <c r="N12" s="11"/>
      <c r="O12" s="11"/>
    </row>
    <row r="13">
      <c r="A13" s="5" t="str">
        <f>IFERROR(__xludf.DUMMYFUNCTION("""COMPUTED_VALUE"""),"Desarrollo de actividades de investigación para la generación de conocimiento científico, técnico, social y económico de la pesca y la acuicultura a nivel nacional")</f>
        <v>Desarrollo de actividades de investigación para la generación de conocimiento científico, técnico, social y económico de la pesca y la acuicultura a nivel nacional</v>
      </c>
      <c r="B13" s="5" t="str">
        <f>IFERROR(__xludf.DUMMYFUNCTION("""COMPUTED_VALUE"""),"Investigación")</f>
        <v>Investigación</v>
      </c>
      <c r="C13" s="5">
        <f>IFERROR(__xludf.DUMMYFUNCTION("""COMPUTED_VALUE"""),2.019011000277E12)</f>
        <v>2019011000277</v>
      </c>
      <c r="D13" s="5" t="str">
        <f>IFERROR(__xludf.DUMMYFUNCTION("""COMPUTED_VALUE"""),"Aumentar el desarrollo de la acuicultura asociado a la optimización de los procesos productivos.")</f>
        <v>Aumentar el desarrollo de la acuicultura asociado a la optimización de los procesos productivos.</v>
      </c>
      <c r="E13" s="5" t="str">
        <f>IFERROR(__xludf.DUMMYFUNCTION("""COMPUTED_VALUE"""),"Documentos de lineamientos técnicos")</f>
        <v>Documentos de lineamientos técnicos</v>
      </c>
      <c r="F13" s="6" t="str">
        <f>IFERROR(__xludf.DUMMYFUNCTION("""COMPUTED_VALUE"""),"170801600 - Documentos de lineamientos técnicos elaborados")</f>
        <v>170801600 - Documentos de lineamientos técnicos elaborados</v>
      </c>
      <c r="G13" s="6" t="str">
        <f>IFERROR(__xludf.DUMMYFUNCTION("""COMPUTED_VALUE"""),"Número")</f>
        <v>Número</v>
      </c>
      <c r="H13" s="7">
        <f>IFERROR(__xludf.DUMMYFUNCTION("""COMPUTED_VALUE"""),6.0)</f>
        <v>6</v>
      </c>
      <c r="I13" s="8" t="str">
        <f>IFERROR(__xludf.DUMMYFUNCTION("""COMPUTED_VALUE"""),"Eficacia")</f>
        <v>Eficacia</v>
      </c>
      <c r="J13" s="9">
        <f>IFERROR(__xludf.DUMMYFUNCTION("""COMPUTED_VALUE"""),-2.0)</f>
        <v>-2</v>
      </c>
      <c r="K13" s="10">
        <f>IFERROR(__xludf.DUMMYFUNCTION("""COMPUTED_VALUE"""),8.0)</f>
        <v>8</v>
      </c>
      <c r="L13" s="11" t="str">
        <f>IFERROR(__xludf.DUMMYFUNCTION("""COMPUTED_VALUE"""),"1100G014 - Convenios Firmados Con Entes Publicos Nacionales Y Privados")</f>
        <v>1100G014 - Convenios Firmados Con Entes Publicos Nacionales Y Privados</v>
      </c>
      <c r="M13" s="11" t="str">
        <f>IFERROR(__xludf.DUMMYFUNCTION("""COMPUTED_VALUE"""),"Número")</f>
        <v>Número</v>
      </c>
      <c r="N13" s="11">
        <f>IFERROR(__xludf.DUMMYFUNCTION("""COMPUTED_VALUE"""),7.0)</f>
        <v>7</v>
      </c>
      <c r="O13" s="11" t="str">
        <f>IFERROR(__xludf.DUMMYFUNCTION("""COMPUTED_VALUE"""),"Efectividad")</f>
        <v>Efectividad</v>
      </c>
    </row>
    <row r="14">
      <c r="A14" s="5" t="str">
        <f>IFERROR(__xludf.DUMMYFUNCTION("""COMPUTED_VALUE"""),"Desarrollo de actividades de investigación para la generación de conocimiento científico, técnico, social y económico de la pesca y la acuicultura a nivel nacional")</f>
        <v>Desarrollo de actividades de investigación para la generación de conocimiento científico, técnico, social y económico de la pesca y la acuicultura a nivel nacional</v>
      </c>
      <c r="B14" s="5" t="str">
        <f>IFERROR(__xludf.DUMMYFUNCTION("""COMPUTED_VALUE"""),"Investigación")</f>
        <v>Investigación</v>
      </c>
      <c r="C14" s="5">
        <f>IFERROR(__xludf.DUMMYFUNCTION("""COMPUTED_VALUE"""),2.019011000277E12)</f>
        <v>2019011000277</v>
      </c>
      <c r="D14" s="5" t="str">
        <f>IFERROR(__xludf.DUMMYFUNCTION("""COMPUTED_VALUE"""),"Aumentar el desarrollo de la acuicultura asociado a la optimización de los procesos productivos.")</f>
        <v>Aumentar el desarrollo de la acuicultura asociado a la optimización de los procesos productivos.</v>
      </c>
      <c r="E14" s="5" t="str">
        <f>IFERROR(__xludf.DUMMYFUNCTION("""COMPUTED_VALUE"""),"Especies animales y vegetales mejoradas")</f>
        <v>Especies animales y vegetales mejoradas</v>
      </c>
      <c r="F14" s="6" t="str">
        <f>IFERROR(__xludf.DUMMYFUNCTION("""COMPUTED_VALUE"""),"170801800 - Especies trabajadas a nivel genético")</f>
        <v>170801800 - Especies trabajadas a nivel genético</v>
      </c>
      <c r="G14" s="6" t="str">
        <f>IFERROR(__xludf.DUMMYFUNCTION("""COMPUTED_VALUE"""),"Número de especies")</f>
        <v>Número de especies</v>
      </c>
      <c r="H14" s="7">
        <f>IFERROR(__xludf.DUMMYFUNCTION("""COMPUTED_VALUE"""),1.0)</f>
        <v>1</v>
      </c>
      <c r="I14" s="8" t="str">
        <f>IFERROR(__xludf.DUMMYFUNCTION("""COMPUTED_VALUE"""),"Eficacia")</f>
        <v>Eficacia</v>
      </c>
      <c r="J14" s="9">
        <f>IFERROR(__xludf.DUMMYFUNCTION("""COMPUTED_VALUE"""),0.0)</f>
        <v>0</v>
      </c>
      <c r="K14" s="10">
        <f>IFERROR(__xludf.DUMMYFUNCTION("""COMPUTED_VALUE"""),1.0)</f>
        <v>1</v>
      </c>
      <c r="L14" s="11"/>
      <c r="M14" s="11"/>
      <c r="N14" s="11"/>
      <c r="O14" s="11"/>
    </row>
    <row r="15">
      <c r="A15" s="5" t="str">
        <f>IFERROR(__xludf.DUMMYFUNCTION("""COMPUTED_VALUE"""),"Desarrollo de actividades de investigación para la generación de conocimiento científico, técnico, social y económico de la pesca y la acuicultura a nivel nacional")</f>
        <v>Desarrollo de actividades de investigación para la generación de conocimiento científico, técnico, social y económico de la pesca y la acuicultura a nivel nacional</v>
      </c>
      <c r="B15" s="5" t="str">
        <f>IFERROR(__xludf.DUMMYFUNCTION("""COMPUTED_VALUE"""),"Investigación")</f>
        <v>Investigación</v>
      </c>
      <c r="C15" s="5">
        <f>IFERROR(__xludf.DUMMYFUNCTION("""COMPUTED_VALUE"""),2.019011000277E12)</f>
        <v>2019011000277</v>
      </c>
      <c r="D15" s="5" t="str">
        <f>IFERROR(__xludf.DUMMYFUNCTION("""COMPUTED_VALUE"""),"Fortalecer la generación de insumos de planificación pesquera y de la acuicultura")</f>
        <v>Fortalecer la generación de insumos de planificación pesquera y de la acuicultura</v>
      </c>
      <c r="E15" s="5" t="str">
        <f>IFERROR(__xludf.DUMMYFUNCTION("""COMPUTED_VALUE"""),"Servicio de análisis de Información para la planificación pesquera y de la acuicultura")</f>
        <v>Servicio de análisis de Información para la planificación pesquera y de la acuicultura</v>
      </c>
      <c r="F15" s="6" t="str">
        <f>IFERROR(__xludf.DUMMYFUNCTION("""COMPUTED_VALUE"""),"170804900 - Análisis generados")</f>
        <v>170804900 - Análisis generados</v>
      </c>
      <c r="G15" s="6" t="str">
        <f>IFERROR(__xludf.DUMMYFUNCTION("""COMPUTED_VALUE"""),"Número")</f>
        <v>Número</v>
      </c>
      <c r="H15" s="7">
        <f>IFERROR(__xludf.DUMMYFUNCTION("""COMPUTED_VALUE"""),2.0)</f>
        <v>2</v>
      </c>
      <c r="I15" s="8" t="str">
        <f>IFERROR(__xludf.DUMMYFUNCTION("""COMPUTED_VALUE"""),"Eficacia")</f>
        <v>Eficacia</v>
      </c>
      <c r="J15" s="9">
        <f>IFERROR(__xludf.DUMMYFUNCTION("""COMPUTED_VALUE"""),-4.0)</f>
        <v>-4</v>
      </c>
      <c r="K15" s="10">
        <f>IFERROR(__xludf.DUMMYFUNCTION("""COMPUTED_VALUE"""),6.0)</f>
        <v>6</v>
      </c>
      <c r="L15" s="11"/>
      <c r="M15" s="11"/>
      <c r="N15" s="11"/>
      <c r="O15" s="11"/>
    </row>
    <row r="16">
      <c r="A16" s="5" t="str">
        <f>IFERROR(__xludf.DUMMYFUNCTION("""COMPUTED_VALUE"""),"Desarrollo de actividades de investigación para la generación de conocimiento científico, técnico, social y económico de la pesca y la acuicultura a nivel nacional")</f>
        <v>Desarrollo de actividades de investigación para la generación de conocimiento científico, técnico, social y económico de la pesca y la acuicultura a nivel nacional</v>
      </c>
      <c r="B16" s="5" t="str">
        <f>IFERROR(__xludf.DUMMYFUNCTION("""COMPUTED_VALUE"""),"Investigación")</f>
        <v>Investigación</v>
      </c>
      <c r="C16" s="5">
        <f>IFERROR(__xludf.DUMMYFUNCTION("""COMPUTED_VALUE"""),2.019011000277E12)</f>
        <v>2019011000277</v>
      </c>
      <c r="D16" s="5" t="str">
        <f>IFERROR(__xludf.DUMMYFUNCTION("""COMPUTED_VALUE"""),"Incrementar el conocimiento científico y técnico del estado de los recursos pesqueros y de la actividad pesquera")</f>
        <v>Incrementar el conocimiento científico y técnico del estado de los recursos pesqueros y de la actividad pesquera</v>
      </c>
      <c r="E16" s="5" t="str">
        <f>IFERROR(__xludf.DUMMYFUNCTION("""COMPUTED_VALUE"""),"Documentos de investigación")</f>
        <v>Documentos de investigación</v>
      </c>
      <c r="F16" s="6" t="str">
        <f>IFERROR(__xludf.DUMMYFUNCTION("""COMPUTED_VALUE"""),"170801500 - Documentos de investigación elaborados")</f>
        <v>170801500 - Documentos de investigación elaborados</v>
      </c>
      <c r="G16" s="6" t="str">
        <f>IFERROR(__xludf.DUMMYFUNCTION("""COMPUTED_VALUE"""),"Número")</f>
        <v>Número</v>
      </c>
      <c r="H16" s="7">
        <f>IFERROR(__xludf.DUMMYFUNCTION("""COMPUTED_VALUE"""),6.0)</f>
        <v>6</v>
      </c>
      <c r="I16" s="8" t="str">
        <f>IFERROR(__xludf.DUMMYFUNCTION("""COMPUTED_VALUE"""),"Eficacia")</f>
        <v>Eficacia</v>
      </c>
      <c r="J16" s="9">
        <f>IFERROR(__xludf.DUMMYFUNCTION("""COMPUTED_VALUE"""),0.0)</f>
        <v>0</v>
      </c>
      <c r="K16" s="10">
        <f>IFERROR(__xludf.DUMMYFUNCTION("""COMPUTED_VALUE"""),6.0)</f>
        <v>6</v>
      </c>
      <c r="L16" s="11"/>
      <c r="M16" s="11"/>
      <c r="N16" s="11"/>
      <c r="O16" s="11"/>
    </row>
    <row r="17">
      <c r="A17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17" s="5" t="str">
        <f>IFERROR(__xludf.DUMMYFUNCTION("""COMPUTED_VALUE"""),"Fortalecimiento")</f>
        <v>Fortalecimiento</v>
      </c>
      <c r="C17" s="5">
        <f>IFERROR(__xludf.DUMMYFUNCTION("""COMPUTED_VALUE"""),2.018011000241E12)</f>
        <v>2018011000241</v>
      </c>
      <c r="D17" s="5" t="str">
        <f>IFERROR(__xludf.DUMMYFUNCTION("""COMPUTED_VALUE"""),"Fortalecer la Infraestructura Tecnológica de la entidad")</f>
        <v>Fortalecer la Infraestructura Tecnológica de la entidad</v>
      </c>
      <c r="E17" s="5" t="str">
        <f>IFERROR(__xludf.DUMMYFUNCTION("""COMPUTED_VALUE"""),"Servicios tecnológicos")</f>
        <v>Servicios tecnológicos</v>
      </c>
      <c r="F17" s="6" t="str">
        <f>IFERROR(__xludf.DUMMYFUNCTION("""COMPUTED_VALUE"""),"179906500 - Índice de capacidad en la prestación de servicios de tecnología")</f>
        <v>179906500 - Índice de capacidad en la prestación de servicios de tecnología</v>
      </c>
      <c r="G17" s="6" t="str">
        <f>IFERROR(__xludf.DUMMYFUNCTION("""COMPUTED_VALUE"""),"Porcentaje")</f>
        <v>Porcentaje</v>
      </c>
      <c r="H17" s="16">
        <f>IFERROR(__xludf.DUMMYFUNCTION("""COMPUTED_VALUE"""),1.0)</f>
        <v>1</v>
      </c>
      <c r="I17" s="8" t="str">
        <f>IFERROR(__xludf.DUMMYFUNCTION("""COMPUTED_VALUE"""),"Eficacia")</f>
        <v>Eficacia</v>
      </c>
      <c r="J17" s="9">
        <f>IFERROR(__xludf.DUMMYFUNCTION("""COMPUTED_VALUE"""),1.0)</f>
        <v>1</v>
      </c>
      <c r="K17" s="10">
        <f>IFERROR(__xludf.DUMMYFUNCTION("""COMPUTED_VALUE"""),0.0)</f>
        <v>0</v>
      </c>
      <c r="L17" s="13" t="str">
        <f>IFERROR(__xludf.DUMMYFUNCTION("""COMPUTED_VALUE"""),"9900G034 - Porcentaje De Avance En La Implementación De Sistemas De Calidad De La Gestión")</f>
        <v>9900G034 - Porcentaje De Avance En La Implementación De Sistemas De Calidad De La Gestión</v>
      </c>
      <c r="M17" s="14" t="str">
        <f>IFERROR(__xludf.DUMMYFUNCTION("""COMPUTED_VALUE"""),"Porcentaje")</f>
        <v>Porcentaje</v>
      </c>
      <c r="N17" s="17">
        <f>IFERROR(__xludf.DUMMYFUNCTION("""COMPUTED_VALUE"""),0.25)</f>
        <v>0.25</v>
      </c>
      <c r="O17" s="14" t="str">
        <f>IFERROR(__xludf.DUMMYFUNCTION("""COMPUTED_VALUE"""),"Efectividad")</f>
        <v>Efectividad</v>
      </c>
    </row>
    <row r="18">
      <c r="A18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18" s="5" t="str">
        <f>IFERROR(__xludf.DUMMYFUNCTION("""COMPUTED_VALUE"""),"Fortalecimiento")</f>
        <v>Fortalecimiento</v>
      </c>
      <c r="C18" s="5">
        <f>IFERROR(__xludf.DUMMYFUNCTION("""COMPUTED_VALUE"""),2.018011000241E12)</f>
        <v>2018011000241</v>
      </c>
      <c r="D18" s="5" t="str">
        <f>IFERROR(__xludf.DUMMYFUNCTION("""COMPUTED_VALUE"""),"Fortalecer los sistemas de gestión de la Entidad")</f>
        <v>Fortalecer los sistemas de gestión de la Entidad</v>
      </c>
      <c r="E18" s="5" t="str">
        <f>IFERROR(__xludf.DUMMYFUNCTION("""COMPUTED_VALUE"""),"Servicio de Implementación Sistemas de Gestión")</f>
        <v>Servicio de Implementación Sistemas de Gestión</v>
      </c>
      <c r="F18" s="6" t="str">
        <f>IFERROR(__xludf.DUMMYFUNCTION("""COMPUTED_VALUE"""),"179906000 - Sistema de Gestión implementado")</f>
        <v>179906000 - Sistema de Gestión implementado</v>
      </c>
      <c r="G18" s="6" t="str">
        <f>IFERROR(__xludf.DUMMYFUNCTION("""COMPUTED_VALUE"""),"Número")</f>
        <v>Número</v>
      </c>
      <c r="H18" s="7">
        <f>IFERROR(__xludf.DUMMYFUNCTION("""COMPUTED_VALUE"""),2.0)</f>
        <v>2</v>
      </c>
      <c r="I18" s="8" t="str">
        <f>IFERROR(__xludf.DUMMYFUNCTION("""COMPUTED_VALUE"""),"Eficacia")</f>
        <v>Eficacia</v>
      </c>
      <c r="J18" s="9">
        <f>IFERROR(__xludf.DUMMYFUNCTION("""COMPUTED_VALUE"""),2.0)</f>
        <v>2</v>
      </c>
      <c r="K18" s="10">
        <f>IFERROR(__xludf.DUMMYFUNCTION("""COMPUTED_VALUE"""),0.0)</f>
        <v>0</v>
      </c>
      <c r="L18" s="11"/>
      <c r="M18" s="11"/>
      <c r="N18" s="11"/>
      <c r="O18" s="11"/>
    </row>
    <row r="19">
      <c r="A19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19" s="5" t="str">
        <f>IFERROR(__xludf.DUMMYFUNCTION("""COMPUTED_VALUE"""),"Fortalecimiento")</f>
        <v>Fortalecimiento</v>
      </c>
      <c r="C19" s="5">
        <f>IFERROR(__xludf.DUMMYFUNCTION("""COMPUTED_VALUE"""),2.018011000241E12)</f>
        <v>2018011000241</v>
      </c>
      <c r="D19" s="5" t="str">
        <f>IFERROR(__xludf.DUMMYFUNCTION("""COMPUTED_VALUE"""),"Fortalecer los sistemas de gestión de la Entidad")</f>
        <v>Fortalecer los sistemas de gestión de la Entidad</v>
      </c>
      <c r="E19" s="5" t="str">
        <f>IFERROR(__xludf.DUMMYFUNCTION("""COMPUTED_VALUE"""),"Servicio de Educación Informal para la Gestión Administrativa")</f>
        <v>Servicio de Educación Informal para la Gestión Administrativa</v>
      </c>
      <c r="F19" s="6" t="str">
        <f>IFERROR(__xludf.DUMMYFUNCTION("""COMPUTED_VALUE"""),"179905801 - Capacitaciones realizadas")</f>
        <v>179905801 - Capacitaciones realizadas</v>
      </c>
      <c r="G19" s="6" t="str">
        <f>IFERROR(__xludf.DUMMYFUNCTION("""COMPUTED_VALUE"""),"Número")</f>
        <v>Número</v>
      </c>
      <c r="H19" s="7">
        <f>IFERROR(__xludf.DUMMYFUNCTION("""COMPUTED_VALUE"""),70.0)</f>
        <v>70</v>
      </c>
      <c r="I19" s="8" t="str">
        <f>IFERROR(__xludf.DUMMYFUNCTION("""COMPUTED_VALUE"""),"Eficacia")</f>
        <v>Eficacia</v>
      </c>
      <c r="J19" s="9">
        <f>IFERROR(__xludf.DUMMYFUNCTION("""COMPUTED_VALUE"""),70.0)</f>
        <v>70</v>
      </c>
      <c r="K19" s="10">
        <f>IFERROR(__xludf.DUMMYFUNCTION("""COMPUTED_VALUE"""),0.0)</f>
        <v>0</v>
      </c>
      <c r="L19" s="11"/>
      <c r="M19" s="11"/>
      <c r="N19" s="11"/>
      <c r="O19" s="11"/>
    </row>
    <row r="20">
      <c r="A20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20" s="5" t="str">
        <f>IFERROR(__xludf.DUMMYFUNCTION("""COMPUTED_VALUE"""),"Fortalecimiento")</f>
        <v>Fortalecimiento</v>
      </c>
      <c r="C20" s="5">
        <f>IFERROR(__xludf.DUMMYFUNCTION("""COMPUTED_VALUE"""),2.018011000241E12)</f>
        <v>2018011000241</v>
      </c>
      <c r="D20" s="5" t="str">
        <f>IFERROR(__xludf.DUMMYFUNCTION("""COMPUTED_VALUE"""),"Fortalecer los sistemas de gestión de la Entidad")</f>
        <v>Fortalecer los sistemas de gestión de la Entidad</v>
      </c>
      <c r="E20" s="5" t="str">
        <f>IFERROR(__xludf.DUMMYFUNCTION("""COMPUTED_VALUE"""),"Servicio de Gestión Documental")</f>
        <v>Servicio de Gestión Documental</v>
      </c>
      <c r="F20" s="6" t="str">
        <f>IFERROR(__xludf.DUMMYFUNCTION("""COMPUTED_VALUE"""),"179905200 - Sistema de gestión documental implementado")</f>
        <v>179905200 - Sistema de gestión documental implementado</v>
      </c>
      <c r="G20" s="6" t="str">
        <f>IFERROR(__xludf.DUMMYFUNCTION("""COMPUTED_VALUE"""),"Número")</f>
        <v>Número</v>
      </c>
      <c r="H20" s="7">
        <f>IFERROR(__xludf.DUMMYFUNCTION("""COMPUTED_VALUE"""),1.0)</f>
        <v>1</v>
      </c>
      <c r="I20" s="8" t="str">
        <f>IFERROR(__xludf.DUMMYFUNCTION("""COMPUTED_VALUE"""),"Eficacia")</f>
        <v>Eficacia</v>
      </c>
      <c r="J20" s="9">
        <f>IFERROR(__xludf.DUMMYFUNCTION("""COMPUTED_VALUE"""),1.0)</f>
        <v>1</v>
      </c>
      <c r="K20" s="10">
        <f>IFERROR(__xludf.DUMMYFUNCTION("""COMPUTED_VALUE"""),0.0)</f>
        <v>0</v>
      </c>
      <c r="L20" s="11" t="str">
        <f>IFERROR(__xludf.DUMMYFUNCTION("""COMPUTED_VALUE"""),"9900G034 - Porcentaje De Avance En La Implementación De Sistemas De Calidad De La Gestión")</f>
        <v>9900G034 - Porcentaje De Avance En La Implementación De Sistemas De Calidad De La Gestión</v>
      </c>
      <c r="M20" s="11" t="str">
        <f>IFERROR(__xludf.DUMMYFUNCTION("""COMPUTED_VALUE"""),"Porcentaje")</f>
        <v>Porcentaje</v>
      </c>
      <c r="N20" s="18">
        <f>IFERROR(__xludf.DUMMYFUNCTION("""COMPUTED_VALUE"""),0.25)</f>
        <v>0.25</v>
      </c>
      <c r="O20" s="11" t="str">
        <f>IFERROR(__xludf.DUMMYFUNCTION("""COMPUTED_VALUE"""),"Efectividad")</f>
        <v>Efectividad</v>
      </c>
    </row>
    <row r="21">
      <c r="A21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21" s="5" t="str">
        <f>IFERROR(__xludf.DUMMYFUNCTION("""COMPUTED_VALUE"""),"Fortalecimiento")</f>
        <v>Fortalecimiento</v>
      </c>
      <c r="C21" s="5">
        <f>IFERROR(__xludf.DUMMYFUNCTION("""COMPUTED_VALUE"""),2.018011000241E12)</f>
        <v>2018011000241</v>
      </c>
      <c r="D21" s="5" t="str">
        <f>IFERROR(__xludf.DUMMYFUNCTION("""COMPUTED_VALUE"""),"Mejorar las condiciones en la infraestructura física de las sedes de la AUNAP")</f>
        <v>Mejorar las condiciones en la infraestructura física de las sedes de la AUNAP</v>
      </c>
      <c r="E21" s="5" t="str">
        <f>IFERROR(__xludf.DUMMYFUNCTION("""COMPUTED_VALUE"""),"Sedes adecuadas")</f>
        <v>Sedes adecuadas</v>
      </c>
      <c r="F21" s="6" t="str">
        <f>IFERROR(__xludf.DUMMYFUNCTION("""COMPUTED_VALUE"""),"179901100 - Sedes adecuadas")</f>
        <v>179901100 - Sedes adecuadas</v>
      </c>
      <c r="G21" s="6" t="str">
        <f>IFERROR(__xludf.DUMMYFUNCTION("""COMPUTED_VALUE"""),"Número")</f>
        <v>Número</v>
      </c>
      <c r="H21" s="7">
        <f>IFERROR(__xludf.DUMMYFUNCTION("""COMPUTED_VALUE"""),2.0)</f>
        <v>2</v>
      </c>
      <c r="I21" s="8" t="str">
        <f>IFERROR(__xludf.DUMMYFUNCTION("""COMPUTED_VALUE"""),"Eficacia")</f>
        <v>Eficacia</v>
      </c>
      <c r="J21" s="9">
        <f>IFERROR(__xludf.DUMMYFUNCTION("""COMPUTED_VALUE"""),1.0)</f>
        <v>1</v>
      </c>
      <c r="K21" s="10">
        <f>IFERROR(__xludf.DUMMYFUNCTION("""COMPUTED_VALUE"""),1.0)</f>
        <v>1</v>
      </c>
      <c r="L21" s="11"/>
      <c r="M21" s="11"/>
      <c r="N21" s="11"/>
      <c r="O21" s="11"/>
    </row>
    <row r="22">
      <c r="A22" s="5" t="str">
        <f>IFERROR(__xludf.DUMMYFUNCTION("""COMPUTED_VALUE"""),"Fortalecimiento de la capacidad de gestión de la autoridad nacional de acuicultura y pesca - aunap nacional")</f>
        <v>Fortalecimiento de la capacidad de gestión de la autoridad nacional de acuicultura y pesca - aunap nacional</v>
      </c>
      <c r="B22" s="5" t="str">
        <f>IFERROR(__xludf.DUMMYFUNCTION("""COMPUTED_VALUE"""),"Fortalecimiento")</f>
        <v>Fortalecimiento</v>
      </c>
      <c r="C22" s="5">
        <f>IFERROR(__xludf.DUMMYFUNCTION("""COMPUTED_VALUE"""),2.018011000241E12)</f>
        <v>2018011000241</v>
      </c>
      <c r="D22" s="5" t="str">
        <f>IFERROR(__xludf.DUMMYFUNCTION("""COMPUTED_VALUE"""),"Mejorar las condiciones en la infraestructura física de las sedes de la AUNAP")</f>
        <v>Mejorar las condiciones en la infraestructura física de las sedes de la AUNAP</v>
      </c>
      <c r="E22" s="5" t="str">
        <f>IFERROR(__xludf.DUMMYFUNCTION("""COMPUTED_VALUE"""),"Sedes mantenidas")</f>
        <v>Sedes mantenidas</v>
      </c>
      <c r="F22" s="6" t="str">
        <f>IFERROR(__xludf.DUMMYFUNCTION("""COMPUTED_VALUE"""),"179901600 - Sedes mantenidas")</f>
        <v>179901600 - Sedes mantenidas</v>
      </c>
      <c r="G22" s="6" t="str">
        <f>IFERROR(__xludf.DUMMYFUNCTION("""COMPUTED_VALUE"""),"Número")</f>
        <v>Número</v>
      </c>
      <c r="H22" s="7">
        <f>IFERROR(__xludf.DUMMYFUNCTION("""COMPUTED_VALUE"""),2.0)</f>
        <v>2</v>
      </c>
      <c r="I22" s="8" t="str">
        <f>IFERROR(__xludf.DUMMYFUNCTION("""COMPUTED_VALUE"""),"Eficacia")</f>
        <v>Eficacia</v>
      </c>
      <c r="J22" s="9">
        <f>IFERROR(__xludf.DUMMYFUNCTION("""COMPUTED_VALUE"""),1.0)</f>
        <v>1</v>
      </c>
      <c r="K22" s="10">
        <f>IFERROR(__xludf.DUMMYFUNCTION("""COMPUTED_VALUE"""),1.0)</f>
        <v>1</v>
      </c>
      <c r="L22" s="11"/>
      <c r="M22" s="11"/>
      <c r="N22" s="11"/>
      <c r="O22" s="11"/>
    </row>
    <row r="23">
      <c r="A23" s="11"/>
      <c r="B23" s="11"/>
      <c r="C23" s="11"/>
      <c r="D23" s="11"/>
      <c r="E23" s="11"/>
      <c r="F23" s="11"/>
      <c r="G23" s="11"/>
      <c r="H23" s="19"/>
      <c r="I23" s="20"/>
      <c r="J23" s="19"/>
      <c r="K23" s="21"/>
      <c r="L23" s="11"/>
      <c r="M23" s="11"/>
      <c r="N23" s="11"/>
      <c r="O23" s="11"/>
    </row>
  </sheetData>
  <autoFilter ref="$A$1:$P$2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64.29"/>
    <col customWidth="1" min="6" max="6" width="3.0"/>
    <col customWidth="1" min="10" max="10" width="3.0"/>
    <col customWidth="1" min="12" max="12" width="18.71"/>
    <col customWidth="1" min="13" max="13" width="13.0"/>
    <col customWidth="1" min="18" max="18" width="3.0"/>
    <col customWidth="1" min="24" max="24" width="3.0"/>
    <col customWidth="1" min="28" max="28" width="26.29"/>
    <col customWidth="1" min="31" max="31" width="26.43"/>
    <col customWidth="1" min="33" max="33" width="19.0"/>
    <col customWidth="1" min="34" max="34" width="22.14"/>
  </cols>
  <sheetData>
    <row r="1" ht="15.0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3"/>
      <c r="G1" s="24" t="s">
        <v>5</v>
      </c>
      <c r="H1" s="25"/>
      <c r="I1" s="25"/>
      <c r="J1" s="23"/>
      <c r="K1" s="26" t="s">
        <v>6</v>
      </c>
      <c r="L1" s="27"/>
      <c r="M1" s="27"/>
      <c r="N1" s="27"/>
      <c r="O1" s="27"/>
      <c r="P1" s="27"/>
      <c r="Q1" s="27"/>
      <c r="R1" s="23"/>
      <c r="S1" s="28" t="s">
        <v>7</v>
      </c>
      <c r="T1" s="29"/>
      <c r="U1" s="29"/>
      <c r="V1" s="29"/>
      <c r="W1" s="29"/>
      <c r="X1" s="23"/>
      <c r="Y1" s="22" t="s">
        <v>8</v>
      </c>
      <c r="Z1" s="22" t="s">
        <v>9</v>
      </c>
      <c r="AA1" s="22" t="s">
        <v>10</v>
      </c>
      <c r="AB1" s="22" t="s">
        <v>11</v>
      </c>
      <c r="AC1" s="22" t="s">
        <v>12</v>
      </c>
      <c r="AD1" s="22" t="s">
        <v>13</v>
      </c>
      <c r="AE1" s="22" t="s">
        <v>12</v>
      </c>
      <c r="AF1" s="22" t="s">
        <v>14</v>
      </c>
      <c r="AG1" s="22" t="s">
        <v>12</v>
      </c>
      <c r="AH1" s="22" t="s">
        <v>15</v>
      </c>
      <c r="AI1" s="22" t="s">
        <v>16</v>
      </c>
      <c r="AJ1" s="22" t="s">
        <v>17</v>
      </c>
      <c r="AK1" s="22" t="s">
        <v>18</v>
      </c>
      <c r="AL1" s="22" t="s">
        <v>19</v>
      </c>
      <c r="AM1" s="22" t="s">
        <v>20</v>
      </c>
      <c r="AN1" s="22" t="s">
        <v>21</v>
      </c>
      <c r="AO1" s="22" t="s">
        <v>22</v>
      </c>
      <c r="AP1" s="22" t="s">
        <v>23</v>
      </c>
      <c r="AQ1" s="30" t="s">
        <v>24</v>
      </c>
      <c r="AR1" s="30" t="s">
        <v>25</v>
      </c>
      <c r="AS1" s="30" t="s">
        <v>26</v>
      </c>
      <c r="AT1" s="30" t="s">
        <v>27</v>
      </c>
      <c r="AU1" s="30" t="s">
        <v>28</v>
      </c>
    </row>
    <row r="2" ht="15.0" customHeight="1">
      <c r="A2" s="22" t="s">
        <v>29</v>
      </c>
      <c r="B2" s="22" t="s">
        <v>30</v>
      </c>
      <c r="C2" s="31">
        <v>2.019011000276E12</v>
      </c>
      <c r="D2" s="22" t="s">
        <v>31</v>
      </c>
      <c r="E2" s="22" t="s">
        <v>32</v>
      </c>
      <c r="F2" s="23"/>
      <c r="G2" s="22" t="s">
        <v>33</v>
      </c>
      <c r="H2" s="22" t="s">
        <v>34</v>
      </c>
      <c r="I2" s="23"/>
      <c r="J2" s="23"/>
      <c r="K2" s="22" t="s">
        <v>35</v>
      </c>
      <c r="L2" s="22" t="s">
        <v>36</v>
      </c>
      <c r="M2" s="22" t="s">
        <v>37</v>
      </c>
      <c r="N2" s="22" t="s">
        <v>38</v>
      </c>
      <c r="O2" s="22" t="s">
        <v>39</v>
      </c>
      <c r="P2" s="22" t="s">
        <v>40</v>
      </c>
      <c r="Q2" s="22" t="s">
        <v>41</v>
      </c>
      <c r="R2" s="23"/>
      <c r="S2" s="22" t="s">
        <v>33</v>
      </c>
      <c r="T2" s="22" t="s">
        <v>35</v>
      </c>
      <c r="U2" s="23"/>
      <c r="V2" s="23"/>
      <c r="W2" s="23"/>
      <c r="X2" s="23"/>
      <c r="Y2" s="22" t="s">
        <v>42</v>
      </c>
      <c r="Z2" s="22" t="s">
        <v>43</v>
      </c>
      <c r="AA2" s="22" t="s">
        <v>44</v>
      </c>
      <c r="AB2" s="22" t="s">
        <v>45</v>
      </c>
      <c r="AC2" s="22" t="s">
        <v>46</v>
      </c>
      <c r="AD2" s="22" t="s">
        <v>47</v>
      </c>
      <c r="AE2" s="22" t="s">
        <v>48</v>
      </c>
      <c r="AF2" s="22" t="s">
        <v>49</v>
      </c>
      <c r="AG2" s="23"/>
      <c r="AH2" s="32">
        <v>44563.0</v>
      </c>
      <c r="AI2" s="22" t="s">
        <v>50</v>
      </c>
      <c r="AJ2" s="22" t="s">
        <v>51</v>
      </c>
      <c r="AK2" s="22" t="s">
        <v>52</v>
      </c>
      <c r="AL2" s="22" t="s">
        <v>53</v>
      </c>
      <c r="AM2" s="22" t="s">
        <v>54</v>
      </c>
      <c r="AN2" s="22" t="s">
        <v>55</v>
      </c>
      <c r="AO2" s="22" t="s">
        <v>56</v>
      </c>
      <c r="AP2" s="22" t="s">
        <v>57</v>
      </c>
      <c r="AQ2" s="30" t="s">
        <v>58</v>
      </c>
      <c r="AR2" s="30" t="s">
        <v>59</v>
      </c>
      <c r="AS2" s="30" t="s">
        <v>60</v>
      </c>
      <c r="AT2" s="30" t="s">
        <v>61</v>
      </c>
      <c r="AU2" s="30" t="s">
        <v>62</v>
      </c>
    </row>
    <row r="3" ht="15.0" customHeight="1">
      <c r="A3" s="22" t="s">
        <v>63</v>
      </c>
      <c r="B3" s="22" t="s">
        <v>64</v>
      </c>
      <c r="C3" s="31">
        <v>2.01901100028E12</v>
      </c>
      <c r="D3" s="22" t="s">
        <v>65</v>
      </c>
      <c r="E3" s="22" t="s">
        <v>66</v>
      </c>
      <c r="F3" s="23"/>
      <c r="G3" s="22" t="s">
        <v>67</v>
      </c>
      <c r="H3" s="22" t="s">
        <v>68</v>
      </c>
      <c r="I3" s="23"/>
      <c r="J3" s="23"/>
      <c r="K3" s="22" t="s">
        <v>69</v>
      </c>
      <c r="L3" s="22" t="s">
        <v>70</v>
      </c>
      <c r="M3" s="22" t="s">
        <v>71</v>
      </c>
      <c r="N3" s="22" t="s">
        <v>72</v>
      </c>
      <c r="O3" s="23"/>
      <c r="P3" s="23"/>
      <c r="Q3" s="23"/>
      <c r="R3" s="23"/>
      <c r="S3" s="22" t="s">
        <v>34</v>
      </c>
      <c r="T3" s="22" t="s">
        <v>69</v>
      </c>
      <c r="U3" s="23"/>
      <c r="V3" s="23"/>
      <c r="W3" s="23"/>
      <c r="X3" s="23"/>
      <c r="Y3" s="22" t="s">
        <v>73</v>
      </c>
      <c r="Z3" s="22" t="s">
        <v>74</v>
      </c>
      <c r="AA3" s="22" t="s">
        <v>75</v>
      </c>
      <c r="AB3" s="22" t="s">
        <v>76</v>
      </c>
      <c r="AC3" s="22" t="s">
        <v>77</v>
      </c>
      <c r="AD3" s="22" t="s">
        <v>78</v>
      </c>
      <c r="AE3" s="22" t="s">
        <v>79</v>
      </c>
      <c r="AF3" s="22" t="s">
        <v>80</v>
      </c>
      <c r="AG3" s="23"/>
      <c r="AH3" s="31">
        <v>3.5</v>
      </c>
      <c r="AI3" s="22" t="s">
        <v>81</v>
      </c>
      <c r="AJ3" s="22" t="s">
        <v>82</v>
      </c>
      <c r="AK3" s="22" t="s">
        <v>83</v>
      </c>
      <c r="AL3" s="22" t="s">
        <v>84</v>
      </c>
      <c r="AM3" s="22" t="s">
        <v>85</v>
      </c>
      <c r="AN3" s="22" t="s">
        <v>86</v>
      </c>
      <c r="AO3" s="22" t="s">
        <v>87</v>
      </c>
      <c r="AP3" s="22" t="s">
        <v>88</v>
      </c>
      <c r="AQ3" s="30" t="s">
        <v>89</v>
      </c>
      <c r="AR3" s="30" t="s">
        <v>90</v>
      </c>
      <c r="AS3" s="30" t="s">
        <v>91</v>
      </c>
      <c r="AT3" s="30" t="s">
        <v>92</v>
      </c>
      <c r="AU3" s="30" t="s">
        <v>93</v>
      </c>
    </row>
    <row r="4" ht="15.0" customHeight="1">
      <c r="A4" s="22" t="s">
        <v>94</v>
      </c>
      <c r="B4" s="22" t="s">
        <v>95</v>
      </c>
      <c r="C4" s="31">
        <v>2.019011000275E12</v>
      </c>
      <c r="D4" s="22" t="s">
        <v>96</v>
      </c>
      <c r="E4" s="22" t="s">
        <v>97</v>
      </c>
      <c r="F4" s="23"/>
      <c r="G4" s="22" t="s">
        <v>98</v>
      </c>
      <c r="H4" s="22" t="s">
        <v>99</v>
      </c>
      <c r="I4" s="23"/>
      <c r="J4" s="23"/>
      <c r="K4" s="22" t="s">
        <v>100</v>
      </c>
      <c r="L4" s="22" t="s">
        <v>101</v>
      </c>
      <c r="M4" s="22" t="s">
        <v>102</v>
      </c>
      <c r="N4" s="23"/>
      <c r="O4" s="23"/>
      <c r="P4" s="23"/>
      <c r="Q4" s="23"/>
      <c r="R4" s="23"/>
      <c r="S4" s="22" t="s">
        <v>67</v>
      </c>
      <c r="T4" s="22" t="s">
        <v>100</v>
      </c>
      <c r="U4" s="22" t="s">
        <v>103</v>
      </c>
      <c r="V4" s="23"/>
      <c r="W4" s="23"/>
      <c r="X4" s="23"/>
      <c r="Y4" s="22" t="s">
        <v>104</v>
      </c>
      <c r="Z4" s="22" t="s">
        <v>105</v>
      </c>
      <c r="AA4" s="22" t="s">
        <v>106</v>
      </c>
      <c r="AB4" s="22" t="s">
        <v>107</v>
      </c>
      <c r="AC4" s="22" t="s">
        <v>108</v>
      </c>
      <c r="AD4" s="22" t="s">
        <v>55</v>
      </c>
      <c r="AE4" s="22" t="s">
        <v>109</v>
      </c>
      <c r="AF4" s="22" t="s">
        <v>110</v>
      </c>
      <c r="AG4" s="23"/>
      <c r="AH4" s="31">
        <v>4.0</v>
      </c>
      <c r="AI4" s="22" t="s">
        <v>111</v>
      </c>
      <c r="AJ4" s="22" t="s">
        <v>112</v>
      </c>
      <c r="AK4" s="22" t="s">
        <v>113</v>
      </c>
      <c r="AL4" s="22" t="s">
        <v>114</v>
      </c>
      <c r="AM4" s="22" t="s">
        <v>115</v>
      </c>
      <c r="AN4" s="22" t="s">
        <v>116</v>
      </c>
      <c r="AO4" s="22" t="s">
        <v>117</v>
      </c>
      <c r="AP4" s="22" t="s">
        <v>118</v>
      </c>
      <c r="AQ4" s="30" t="s">
        <v>119</v>
      </c>
      <c r="AR4" s="30" t="s">
        <v>120</v>
      </c>
      <c r="AS4" s="30" t="s">
        <v>121</v>
      </c>
      <c r="AU4" s="30" t="s">
        <v>122</v>
      </c>
    </row>
    <row r="5" ht="15.0" customHeight="1">
      <c r="A5" s="22" t="s">
        <v>123</v>
      </c>
      <c r="B5" s="22" t="s">
        <v>124</v>
      </c>
      <c r="C5" s="31">
        <v>2.019011000277E12</v>
      </c>
      <c r="D5" s="22" t="s">
        <v>125</v>
      </c>
      <c r="E5" s="22" t="s">
        <v>126</v>
      </c>
      <c r="F5" s="23"/>
      <c r="G5" s="22" t="s">
        <v>127</v>
      </c>
      <c r="H5" s="22" t="s">
        <v>128</v>
      </c>
      <c r="I5" s="22" t="s">
        <v>129</v>
      </c>
      <c r="J5" s="23"/>
      <c r="K5" s="22" t="s">
        <v>103</v>
      </c>
      <c r="L5" s="22" t="s">
        <v>130</v>
      </c>
      <c r="M5" s="22" t="s">
        <v>131</v>
      </c>
      <c r="N5" s="23"/>
      <c r="O5" s="23"/>
      <c r="P5" s="23"/>
      <c r="Q5" s="23"/>
      <c r="R5" s="23"/>
      <c r="S5" s="22" t="s">
        <v>68</v>
      </c>
      <c r="T5" s="22" t="s">
        <v>132</v>
      </c>
      <c r="U5" s="22" t="s">
        <v>133</v>
      </c>
      <c r="V5" s="22" t="s">
        <v>134</v>
      </c>
      <c r="W5" s="22" t="s">
        <v>135</v>
      </c>
      <c r="X5" s="23"/>
      <c r="Y5" s="23"/>
      <c r="Z5" s="22" t="s">
        <v>136</v>
      </c>
      <c r="AA5" s="22" t="s">
        <v>137</v>
      </c>
      <c r="AB5" s="22" t="s">
        <v>55</v>
      </c>
      <c r="AC5" s="22" t="s">
        <v>138</v>
      </c>
      <c r="AD5" s="22" t="s">
        <v>76</v>
      </c>
      <c r="AE5" s="22" t="s">
        <v>139</v>
      </c>
      <c r="AF5" s="22" t="s">
        <v>140</v>
      </c>
      <c r="AG5" s="23"/>
      <c r="AH5" s="31">
        <v>4.5</v>
      </c>
      <c r="AI5" s="22" t="s">
        <v>141</v>
      </c>
      <c r="AJ5" s="23"/>
      <c r="AK5" s="22" t="s">
        <v>142</v>
      </c>
      <c r="AL5" s="23"/>
      <c r="AM5" s="22" t="s">
        <v>143</v>
      </c>
      <c r="AN5" s="22" t="s">
        <v>144</v>
      </c>
      <c r="AO5" s="22" t="s">
        <v>145</v>
      </c>
      <c r="AQ5" s="30" t="s">
        <v>146</v>
      </c>
      <c r="AR5" s="30" t="s">
        <v>147</v>
      </c>
      <c r="AU5" s="30" t="s">
        <v>148</v>
      </c>
    </row>
    <row r="6" ht="15.0" customHeight="1">
      <c r="A6" s="22" t="s">
        <v>149</v>
      </c>
      <c r="B6" s="22" t="s">
        <v>150</v>
      </c>
      <c r="C6" s="31">
        <v>2.018011000241E12</v>
      </c>
      <c r="D6" s="22" t="s">
        <v>151</v>
      </c>
      <c r="E6" s="22" t="s">
        <v>152</v>
      </c>
      <c r="F6" s="23"/>
      <c r="G6" s="22" t="s">
        <v>153</v>
      </c>
      <c r="H6" s="22" t="s">
        <v>154</v>
      </c>
      <c r="I6" s="22" t="s">
        <v>155</v>
      </c>
      <c r="J6" s="23"/>
      <c r="K6" s="22" t="s">
        <v>132</v>
      </c>
      <c r="L6" s="22" t="s">
        <v>156</v>
      </c>
      <c r="M6" s="22" t="s">
        <v>157</v>
      </c>
      <c r="N6" s="23"/>
      <c r="O6" s="23"/>
      <c r="P6" s="23"/>
      <c r="Q6" s="23"/>
      <c r="R6" s="23"/>
      <c r="S6" s="22" t="s">
        <v>98</v>
      </c>
      <c r="T6" s="22" t="s">
        <v>158</v>
      </c>
      <c r="U6" s="22" t="s">
        <v>159</v>
      </c>
      <c r="V6" s="23"/>
      <c r="W6" s="23"/>
      <c r="X6" s="23"/>
      <c r="Y6" s="23"/>
      <c r="Z6" s="22" t="s">
        <v>160</v>
      </c>
      <c r="AA6" s="33" t="s">
        <v>161</v>
      </c>
      <c r="AB6" s="22" t="s">
        <v>162</v>
      </c>
      <c r="AC6" s="22" t="s">
        <v>163</v>
      </c>
      <c r="AD6" s="22" t="s">
        <v>164</v>
      </c>
      <c r="AE6" s="22" t="s">
        <v>165</v>
      </c>
      <c r="AF6" s="22" t="s">
        <v>166</v>
      </c>
      <c r="AG6" s="23"/>
      <c r="AH6" s="31">
        <v>5.0</v>
      </c>
      <c r="AI6" s="22" t="s">
        <v>167</v>
      </c>
      <c r="AJ6" s="23"/>
      <c r="AK6" s="22" t="s">
        <v>168</v>
      </c>
      <c r="AL6" s="23"/>
      <c r="AM6" s="22" t="s">
        <v>169</v>
      </c>
      <c r="AN6" s="22" t="s">
        <v>170</v>
      </c>
      <c r="AO6" s="22" t="s">
        <v>171</v>
      </c>
      <c r="AR6" s="30" t="s">
        <v>172</v>
      </c>
      <c r="AU6" s="30" t="s">
        <v>173</v>
      </c>
    </row>
    <row r="7" ht="15.0" customHeight="1">
      <c r="A7" s="22" t="s">
        <v>174</v>
      </c>
      <c r="B7" s="22" t="s">
        <v>175</v>
      </c>
      <c r="C7" s="23"/>
      <c r="D7" s="22" t="s">
        <v>175</v>
      </c>
      <c r="E7" s="22" t="s">
        <v>176</v>
      </c>
      <c r="F7" s="23"/>
      <c r="G7" s="23"/>
      <c r="H7" s="23"/>
      <c r="I7" s="23"/>
      <c r="J7" s="23"/>
      <c r="K7" s="22" t="s">
        <v>133</v>
      </c>
      <c r="L7" s="22" t="s">
        <v>156</v>
      </c>
      <c r="M7" s="22" t="s">
        <v>157</v>
      </c>
      <c r="N7" s="23"/>
      <c r="O7" s="23"/>
      <c r="P7" s="23"/>
      <c r="Q7" s="23"/>
      <c r="R7" s="23"/>
      <c r="S7" s="22" t="s">
        <v>99</v>
      </c>
      <c r="T7" s="22" t="s">
        <v>177</v>
      </c>
      <c r="U7" s="23"/>
      <c r="V7" s="23"/>
      <c r="W7" s="23"/>
      <c r="X7" s="23"/>
      <c r="Y7" s="23"/>
      <c r="Z7" s="22" t="s">
        <v>178</v>
      </c>
      <c r="AA7" s="22" t="s">
        <v>179</v>
      </c>
      <c r="AB7" s="22" t="s">
        <v>180</v>
      </c>
      <c r="AC7" s="22" t="s">
        <v>181</v>
      </c>
      <c r="AD7" s="22" t="s">
        <v>182</v>
      </c>
      <c r="AE7" s="22" t="s">
        <v>183</v>
      </c>
      <c r="AF7" s="22" t="s">
        <v>184</v>
      </c>
      <c r="AG7" s="23"/>
      <c r="AH7" s="31">
        <v>5.5</v>
      </c>
      <c r="AI7" s="22" t="s">
        <v>185</v>
      </c>
      <c r="AJ7" s="23"/>
      <c r="AK7" s="22" t="s">
        <v>186</v>
      </c>
      <c r="AL7" s="23"/>
      <c r="AM7" s="22" t="s">
        <v>187</v>
      </c>
      <c r="AN7" s="22" t="s">
        <v>188</v>
      </c>
      <c r="AO7" s="22" t="s">
        <v>189</v>
      </c>
      <c r="AP7" s="22"/>
      <c r="AR7" s="30" t="s">
        <v>190</v>
      </c>
      <c r="AU7" s="30" t="s">
        <v>191</v>
      </c>
    </row>
    <row r="8" ht="15.0" customHeight="1">
      <c r="A8" s="22" t="s">
        <v>192</v>
      </c>
      <c r="B8" s="23"/>
      <c r="C8" s="23"/>
      <c r="D8" s="23"/>
      <c r="E8" s="23"/>
      <c r="F8" s="23"/>
      <c r="G8" s="23"/>
      <c r="H8" s="23"/>
      <c r="I8" s="23"/>
      <c r="J8" s="23"/>
      <c r="K8" s="22" t="s">
        <v>134</v>
      </c>
      <c r="L8" s="22" t="s">
        <v>156</v>
      </c>
      <c r="M8" s="22" t="s">
        <v>157</v>
      </c>
      <c r="N8" s="23"/>
      <c r="O8" s="23"/>
      <c r="P8" s="23"/>
      <c r="Q8" s="23"/>
      <c r="R8" s="23"/>
      <c r="S8" s="22" t="s">
        <v>127</v>
      </c>
      <c r="T8" s="22" t="s">
        <v>193</v>
      </c>
      <c r="U8" s="22" t="s">
        <v>194</v>
      </c>
      <c r="V8" s="23"/>
      <c r="W8" s="23"/>
      <c r="X8" s="23"/>
      <c r="Y8" s="23"/>
      <c r="Z8" s="22" t="s">
        <v>73</v>
      </c>
      <c r="AB8" s="22" t="s">
        <v>195</v>
      </c>
      <c r="AC8" s="23"/>
      <c r="AD8" s="22" t="s">
        <v>196</v>
      </c>
      <c r="AE8" s="22" t="s">
        <v>197</v>
      </c>
      <c r="AF8" s="22" t="s">
        <v>198</v>
      </c>
      <c r="AG8" s="23"/>
      <c r="AH8" s="31">
        <v>6.0</v>
      </c>
      <c r="AI8" s="22" t="s">
        <v>199</v>
      </c>
      <c r="AJ8" s="23"/>
      <c r="AK8" s="22" t="s">
        <v>200</v>
      </c>
      <c r="AL8" s="23"/>
      <c r="AM8" s="22" t="s">
        <v>55</v>
      </c>
      <c r="AN8" s="22" t="s">
        <v>201</v>
      </c>
      <c r="AO8" s="22" t="s">
        <v>202</v>
      </c>
      <c r="AP8" s="23"/>
      <c r="AR8" s="30" t="s">
        <v>203</v>
      </c>
      <c r="AU8" s="30" t="s">
        <v>204</v>
      </c>
    </row>
    <row r="9" ht="15.0" customHeight="1">
      <c r="A9" s="22" t="s">
        <v>205</v>
      </c>
      <c r="B9" s="23"/>
      <c r="C9" s="23"/>
      <c r="D9" s="23"/>
      <c r="E9" s="23"/>
      <c r="F9" s="23"/>
      <c r="G9" s="23"/>
      <c r="H9" s="23"/>
      <c r="I9" s="23"/>
      <c r="J9" s="23"/>
      <c r="K9" s="22" t="s">
        <v>135</v>
      </c>
      <c r="L9" s="22" t="s">
        <v>206</v>
      </c>
      <c r="M9" s="22" t="s">
        <v>207</v>
      </c>
      <c r="N9" s="23"/>
      <c r="O9" s="23"/>
      <c r="P9" s="23"/>
      <c r="Q9" s="23"/>
      <c r="R9" s="23"/>
      <c r="S9" s="22" t="s">
        <v>128</v>
      </c>
      <c r="T9" s="22" t="s">
        <v>208</v>
      </c>
      <c r="U9" s="23"/>
      <c r="V9" s="23"/>
      <c r="W9" s="23"/>
      <c r="X9" s="23"/>
      <c r="Y9" s="23"/>
      <c r="Z9" s="22" t="s">
        <v>209</v>
      </c>
      <c r="AA9" s="23"/>
      <c r="AB9" s="22" t="s">
        <v>210</v>
      </c>
      <c r="AC9" s="23"/>
      <c r="AD9" s="22" t="s">
        <v>211</v>
      </c>
      <c r="AE9" s="22" t="s">
        <v>212</v>
      </c>
      <c r="AF9" s="22" t="s">
        <v>213</v>
      </c>
      <c r="AG9" s="23"/>
      <c r="AH9" s="31">
        <v>6.5</v>
      </c>
      <c r="AI9" s="22" t="s">
        <v>214</v>
      </c>
      <c r="AJ9" s="23"/>
      <c r="AK9" s="22" t="s">
        <v>215</v>
      </c>
      <c r="AL9" s="23"/>
      <c r="AM9" s="23"/>
      <c r="AN9" s="22" t="s">
        <v>216</v>
      </c>
      <c r="AO9" s="22" t="s">
        <v>217</v>
      </c>
      <c r="AP9" s="23"/>
      <c r="AR9" s="30" t="s">
        <v>218</v>
      </c>
      <c r="AU9" s="30" t="s">
        <v>219</v>
      </c>
    </row>
    <row r="10" ht="15.0" customHeight="1">
      <c r="A10" s="22" t="s">
        <v>178</v>
      </c>
      <c r="B10" s="23"/>
      <c r="C10" s="23"/>
      <c r="D10" s="23"/>
      <c r="E10" s="23"/>
      <c r="F10" s="23"/>
      <c r="G10" s="23"/>
      <c r="H10" s="23"/>
      <c r="I10" s="23"/>
      <c r="J10" s="23"/>
      <c r="K10" s="22" t="s">
        <v>158</v>
      </c>
      <c r="L10" s="22" t="s">
        <v>220</v>
      </c>
      <c r="M10" s="22" t="s">
        <v>221</v>
      </c>
      <c r="N10" s="22" t="s">
        <v>222</v>
      </c>
      <c r="O10" s="22" t="s">
        <v>223</v>
      </c>
      <c r="P10" s="23"/>
      <c r="Q10" s="23"/>
      <c r="R10" s="23"/>
      <c r="S10" s="22" t="s">
        <v>129</v>
      </c>
      <c r="T10" s="22" t="s">
        <v>224</v>
      </c>
      <c r="U10" s="23"/>
      <c r="V10" s="23"/>
      <c r="W10" s="23"/>
      <c r="X10" s="23"/>
      <c r="Y10" s="23"/>
      <c r="Z10" s="22" t="s">
        <v>225</v>
      </c>
      <c r="AA10" s="23"/>
      <c r="AB10" s="34" t="s">
        <v>226</v>
      </c>
      <c r="AC10" s="23"/>
      <c r="AD10" s="22" t="s">
        <v>227</v>
      </c>
      <c r="AE10" s="22" t="s">
        <v>228</v>
      </c>
      <c r="AF10" s="22" t="s">
        <v>229</v>
      </c>
      <c r="AG10" s="23"/>
      <c r="AH10" s="31">
        <v>7.0</v>
      </c>
      <c r="AI10" s="22" t="s">
        <v>230</v>
      </c>
      <c r="AJ10" s="23"/>
      <c r="AK10" s="22" t="s">
        <v>231</v>
      </c>
      <c r="AL10" s="23"/>
      <c r="AM10" s="23"/>
      <c r="AN10" s="22" t="s">
        <v>232</v>
      </c>
      <c r="AO10" s="22" t="s">
        <v>233</v>
      </c>
      <c r="AP10" s="23"/>
      <c r="AR10" s="30" t="s">
        <v>234</v>
      </c>
      <c r="AU10" s="30" t="s">
        <v>235</v>
      </c>
    </row>
    <row r="11" ht="15.0" customHeight="1">
      <c r="A11" s="22" t="s">
        <v>73</v>
      </c>
      <c r="B11" s="23"/>
      <c r="C11" s="23"/>
      <c r="D11" s="23"/>
      <c r="E11" s="23"/>
      <c r="F11" s="23"/>
      <c r="G11" s="23"/>
      <c r="H11" s="23"/>
      <c r="I11" s="23"/>
      <c r="J11" s="23"/>
      <c r="K11" s="22" t="s">
        <v>159</v>
      </c>
      <c r="L11" s="22" t="s">
        <v>236</v>
      </c>
      <c r="M11" s="22" t="s">
        <v>237</v>
      </c>
      <c r="N11" s="22" t="s">
        <v>238</v>
      </c>
      <c r="O11" s="22" t="s">
        <v>239</v>
      </c>
      <c r="P11" s="23"/>
      <c r="Q11" s="22" t="s">
        <v>240</v>
      </c>
      <c r="R11" s="23"/>
      <c r="S11" s="22" t="s">
        <v>153</v>
      </c>
      <c r="T11" s="22" t="s">
        <v>241</v>
      </c>
      <c r="U11" s="22" t="s">
        <v>242</v>
      </c>
      <c r="V11" s="22" t="s">
        <v>243</v>
      </c>
      <c r="W11" s="23"/>
      <c r="X11" s="23"/>
      <c r="Y11" s="23"/>
      <c r="Z11" s="23"/>
      <c r="AA11" s="23"/>
      <c r="AB11" s="22" t="s">
        <v>188</v>
      </c>
      <c r="AC11" s="23"/>
      <c r="AD11" s="22" t="s">
        <v>244</v>
      </c>
      <c r="AE11" s="22" t="s">
        <v>245</v>
      </c>
      <c r="AF11" s="22" t="s">
        <v>246</v>
      </c>
      <c r="AG11" s="23"/>
      <c r="AH11" s="31">
        <v>7.5</v>
      </c>
      <c r="AI11" s="22" t="s">
        <v>247</v>
      </c>
      <c r="AJ11" s="23"/>
      <c r="AK11" s="22" t="s">
        <v>248</v>
      </c>
      <c r="AL11" s="23"/>
      <c r="AM11" s="23"/>
      <c r="AN11" s="22" t="s">
        <v>249</v>
      </c>
      <c r="AO11" s="22" t="s">
        <v>250</v>
      </c>
      <c r="AP11" s="23"/>
      <c r="AR11" s="30" t="s">
        <v>251</v>
      </c>
      <c r="AU11" s="30" t="s">
        <v>252</v>
      </c>
    </row>
    <row r="12" ht="15.0" customHeight="1">
      <c r="A12" s="22" t="s">
        <v>253</v>
      </c>
      <c r="B12" s="23"/>
      <c r="C12" s="23"/>
      <c r="D12" s="23"/>
      <c r="E12" s="23"/>
      <c r="F12" s="23"/>
      <c r="G12" s="23"/>
      <c r="H12" s="23"/>
      <c r="I12" s="23"/>
      <c r="J12" s="23"/>
      <c r="K12" s="22" t="s">
        <v>177</v>
      </c>
      <c r="L12" s="22" t="s">
        <v>254</v>
      </c>
      <c r="M12" s="23"/>
      <c r="N12" s="23"/>
      <c r="O12" s="22" t="s">
        <v>255</v>
      </c>
      <c r="P12" s="22" t="s">
        <v>256</v>
      </c>
      <c r="Q12" s="22" t="s">
        <v>257</v>
      </c>
      <c r="R12" s="23"/>
      <c r="S12" s="22" t="s">
        <v>154</v>
      </c>
      <c r="T12" s="22" t="s">
        <v>258</v>
      </c>
      <c r="U12" s="22" t="s">
        <v>259</v>
      </c>
      <c r="V12" s="23"/>
      <c r="W12" s="23"/>
      <c r="X12" s="23"/>
      <c r="Y12" s="23"/>
      <c r="Z12" s="23"/>
      <c r="AA12" s="23"/>
      <c r="AB12" s="22" t="s">
        <v>260</v>
      </c>
      <c r="AC12" s="23"/>
      <c r="AD12" s="22" t="s">
        <v>261</v>
      </c>
      <c r="AE12" s="22" t="s">
        <v>262</v>
      </c>
      <c r="AF12" s="22" t="s">
        <v>263</v>
      </c>
      <c r="AG12" s="23"/>
      <c r="AH12" s="31">
        <v>8.0</v>
      </c>
      <c r="AI12" s="22" t="s">
        <v>264</v>
      </c>
      <c r="AJ12" s="23"/>
      <c r="AK12" s="22" t="s">
        <v>265</v>
      </c>
      <c r="AL12" s="23"/>
      <c r="AM12" s="23"/>
      <c r="AN12" s="22" t="s">
        <v>266</v>
      </c>
      <c r="AO12" s="22" t="s">
        <v>267</v>
      </c>
      <c r="AP12" s="23"/>
      <c r="AR12" s="30" t="s">
        <v>268</v>
      </c>
      <c r="AU12" s="30" t="s">
        <v>269</v>
      </c>
    </row>
    <row r="13" ht="15.0" customHeight="1">
      <c r="A13" s="22" t="s">
        <v>270</v>
      </c>
      <c r="B13" s="23"/>
      <c r="C13" s="23"/>
      <c r="D13" s="23"/>
      <c r="E13" s="23"/>
      <c r="F13" s="23"/>
      <c r="G13" s="23"/>
      <c r="H13" s="23"/>
      <c r="I13" s="23"/>
      <c r="J13" s="23"/>
      <c r="K13" s="22" t="s">
        <v>193</v>
      </c>
      <c r="L13" s="22" t="s">
        <v>271</v>
      </c>
      <c r="M13" s="22" t="s">
        <v>272</v>
      </c>
      <c r="N13" s="22" t="s">
        <v>273</v>
      </c>
      <c r="O13" s="22" t="s">
        <v>274</v>
      </c>
      <c r="P13" s="23"/>
      <c r="Q13" s="23"/>
      <c r="R13" s="23"/>
      <c r="S13" s="22" t="s">
        <v>155</v>
      </c>
      <c r="T13" s="22" t="s">
        <v>275</v>
      </c>
      <c r="U13" s="23"/>
      <c r="V13" s="23"/>
      <c r="W13" s="23"/>
      <c r="X13" s="23"/>
      <c r="Y13" s="23"/>
      <c r="AA13" s="23"/>
      <c r="AB13" s="22" t="s">
        <v>276</v>
      </c>
      <c r="AC13" s="23"/>
      <c r="AD13" s="22" t="s">
        <v>162</v>
      </c>
      <c r="AE13" s="22" t="s">
        <v>277</v>
      </c>
      <c r="AF13" s="22" t="s">
        <v>278</v>
      </c>
      <c r="AG13" s="23"/>
      <c r="AH13" s="31">
        <v>8.5</v>
      </c>
      <c r="AI13" s="22" t="s">
        <v>279</v>
      </c>
      <c r="AJ13" s="23"/>
      <c r="AK13" s="22" t="s">
        <v>280</v>
      </c>
      <c r="AL13" s="23"/>
      <c r="AM13" s="23"/>
      <c r="AN13" s="22" t="s">
        <v>281</v>
      </c>
      <c r="AO13" s="22" t="s">
        <v>282</v>
      </c>
      <c r="AP13" s="23"/>
      <c r="AR13" s="30" t="s">
        <v>283</v>
      </c>
      <c r="AU13" s="30" t="s">
        <v>284</v>
      </c>
    </row>
    <row r="14" ht="15.0" customHeight="1">
      <c r="A14" s="22" t="s">
        <v>285</v>
      </c>
      <c r="B14" s="23"/>
      <c r="C14" s="23"/>
      <c r="D14" s="23"/>
      <c r="E14" s="23"/>
      <c r="F14" s="23"/>
      <c r="G14" s="23"/>
      <c r="H14" s="23"/>
      <c r="I14" s="23"/>
      <c r="J14" s="23"/>
      <c r="K14" s="22" t="s">
        <v>194</v>
      </c>
      <c r="L14" s="22" t="s">
        <v>286</v>
      </c>
      <c r="M14" s="22" t="s">
        <v>287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33" t="s">
        <v>78</v>
      </c>
      <c r="AC14" s="23"/>
      <c r="AD14" s="22" t="s">
        <v>226</v>
      </c>
      <c r="AE14" s="22" t="s">
        <v>288</v>
      </c>
      <c r="AF14" s="22" t="s">
        <v>289</v>
      </c>
      <c r="AG14" s="23"/>
      <c r="AH14" s="31">
        <v>9.0</v>
      </c>
      <c r="AI14" s="23"/>
      <c r="AJ14" s="23"/>
      <c r="AK14" s="22" t="s">
        <v>290</v>
      </c>
      <c r="AL14" s="23"/>
      <c r="AM14" s="23"/>
      <c r="AN14" s="22" t="s">
        <v>291</v>
      </c>
      <c r="AO14" s="22" t="s">
        <v>292</v>
      </c>
      <c r="AP14" s="23"/>
      <c r="AR14" s="30" t="s">
        <v>293</v>
      </c>
      <c r="AU14" s="30" t="s">
        <v>294</v>
      </c>
    </row>
    <row r="15" ht="15.0" customHeight="1">
      <c r="A15" s="22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2" t="s">
        <v>208</v>
      </c>
      <c r="L15" s="22" t="s">
        <v>295</v>
      </c>
      <c r="M15" s="22" t="s">
        <v>296</v>
      </c>
      <c r="N15" s="22" t="s">
        <v>297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2" t="s">
        <v>298</v>
      </c>
      <c r="AC15" s="23"/>
      <c r="AD15" s="22" t="s">
        <v>299</v>
      </c>
      <c r="AE15" s="22" t="s">
        <v>300</v>
      </c>
      <c r="AF15" s="22" t="s">
        <v>301</v>
      </c>
      <c r="AG15" s="23"/>
      <c r="AH15" s="31">
        <v>9.5</v>
      </c>
      <c r="AI15" s="23"/>
      <c r="AJ15" s="23"/>
      <c r="AK15" s="22" t="s">
        <v>302</v>
      </c>
      <c r="AL15" s="23"/>
      <c r="AM15" s="23"/>
      <c r="AN15" s="22" t="s">
        <v>303</v>
      </c>
      <c r="AO15" s="22" t="s">
        <v>304</v>
      </c>
      <c r="AP15" s="23"/>
      <c r="AR15" s="30" t="s">
        <v>305</v>
      </c>
      <c r="AU15" s="30" t="s">
        <v>306</v>
      </c>
    </row>
    <row r="16" ht="15.0" customHeight="1">
      <c r="A16" s="22" t="s">
        <v>307</v>
      </c>
      <c r="B16" s="23"/>
      <c r="C16" s="23"/>
      <c r="D16" s="23"/>
      <c r="E16" s="23"/>
      <c r="F16" s="23"/>
      <c r="G16" s="23"/>
      <c r="H16" s="23"/>
      <c r="I16" s="23"/>
      <c r="J16" s="23"/>
      <c r="K16" s="22" t="s">
        <v>224</v>
      </c>
      <c r="L16" s="22" t="s">
        <v>308</v>
      </c>
      <c r="M16" s="22" t="s">
        <v>309</v>
      </c>
      <c r="N16" s="22" t="s">
        <v>310</v>
      </c>
      <c r="O16" s="22" t="s">
        <v>311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2" t="s">
        <v>54</v>
      </c>
      <c r="AC16" s="23"/>
      <c r="AD16" s="22" t="s">
        <v>188</v>
      </c>
      <c r="AE16" s="22" t="s">
        <v>312</v>
      </c>
      <c r="AF16" s="22" t="s">
        <v>313</v>
      </c>
      <c r="AG16" s="23"/>
      <c r="AH16" s="31">
        <v>10.0</v>
      </c>
      <c r="AI16" s="23"/>
      <c r="AJ16" s="23"/>
      <c r="AK16" s="23"/>
      <c r="AL16" s="23"/>
      <c r="AM16" s="23"/>
      <c r="AN16" s="22" t="s">
        <v>314</v>
      </c>
      <c r="AO16" s="22" t="s">
        <v>315</v>
      </c>
      <c r="AP16" s="23"/>
      <c r="AR16" s="30" t="s">
        <v>316</v>
      </c>
      <c r="AU16" s="30" t="s">
        <v>317</v>
      </c>
    </row>
    <row r="17" ht="15.0" customHeight="1">
      <c r="A17" s="22" t="s">
        <v>270</v>
      </c>
      <c r="B17" s="23"/>
      <c r="C17" s="23"/>
      <c r="D17" s="23"/>
      <c r="E17" s="23"/>
      <c r="F17" s="23"/>
      <c r="G17" s="23"/>
      <c r="H17" s="23"/>
      <c r="I17" s="23"/>
      <c r="J17" s="23"/>
      <c r="K17" s="22" t="s">
        <v>241</v>
      </c>
      <c r="L17" s="22" t="s">
        <v>318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2" t="s">
        <v>244</v>
      </c>
      <c r="AC17" s="23"/>
      <c r="AD17" s="22" t="s">
        <v>172</v>
      </c>
      <c r="AE17" s="22" t="s">
        <v>319</v>
      </c>
      <c r="AF17" s="22" t="s">
        <v>320</v>
      </c>
      <c r="AG17" s="23"/>
      <c r="AH17" s="31">
        <v>10.5</v>
      </c>
      <c r="AI17" s="23"/>
      <c r="AJ17" s="23"/>
      <c r="AK17" s="23"/>
      <c r="AL17" s="23"/>
      <c r="AM17" s="23"/>
      <c r="AN17" s="22" t="s">
        <v>321</v>
      </c>
      <c r="AO17" s="22" t="s">
        <v>322</v>
      </c>
      <c r="AP17" s="23"/>
      <c r="AU17" s="30" t="s">
        <v>323</v>
      </c>
    </row>
    <row r="18" ht="15.0" customHeight="1">
      <c r="A18" s="22" t="s">
        <v>324</v>
      </c>
      <c r="B18" s="23"/>
      <c r="C18" s="23"/>
      <c r="D18" s="23"/>
      <c r="E18" s="23"/>
      <c r="F18" s="23"/>
      <c r="G18" s="23"/>
      <c r="H18" s="23"/>
      <c r="I18" s="23"/>
      <c r="J18" s="23"/>
      <c r="K18" s="22" t="s">
        <v>242</v>
      </c>
      <c r="L18" s="22" t="s">
        <v>325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2" t="s">
        <v>196</v>
      </c>
      <c r="AC18" s="23"/>
      <c r="AD18" s="22" t="s">
        <v>326</v>
      </c>
      <c r="AE18" s="22" t="s">
        <v>327</v>
      </c>
      <c r="AF18" s="22" t="s">
        <v>328</v>
      </c>
      <c r="AG18" s="23"/>
      <c r="AH18" s="31">
        <v>11.0</v>
      </c>
      <c r="AI18" s="23"/>
      <c r="AJ18" s="23"/>
      <c r="AK18" s="23"/>
      <c r="AL18" s="23"/>
      <c r="AM18" s="23"/>
      <c r="AN18" s="22" t="s">
        <v>329</v>
      </c>
      <c r="AO18" s="22" t="s">
        <v>330</v>
      </c>
      <c r="AP18" s="23"/>
      <c r="AU18" s="30" t="s">
        <v>331</v>
      </c>
    </row>
    <row r="19" ht="15.0" customHeight="1">
      <c r="A19" s="22" t="s">
        <v>332</v>
      </c>
      <c r="B19" s="23"/>
      <c r="C19" s="23"/>
      <c r="D19" s="23"/>
      <c r="E19" s="23"/>
      <c r="F19" s="23"/>
      <c r="G19" s="23"/>
      <c r="H19" s="23"/>
      <c r="I19" s="23"/>
      <c r="J19" s="23"/>
      <c r="K19" s="22" t="s">
        <v>243</v>
      </c>
      <c r="L19" s="22" t="s">
        <v>333</v>
      </c>
      <c r="M19" s="22" t="s">
        <v>334</v>
      </c>
      <c r="N19" s="22" t="s">
        <v>335</v>
      </c>
      <c r="O19" s="22" t="s">
        <v>336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2" t="s">
        <v>164</v>
      </c>
      <c r="AC19" s="23"/>
      <c r="AD19" s="22" t="s">
        <v>107</v>
      </c>
      <c r="AE19" s="22" t="s">
        <v>337</v>
      </c>
      <c r="AF19" s="22" t="s">
        <v>338</v>
      </c>
      <c r="AG19" s="23"/>
      <c r="AH19" s="31">
        <v>11.5</v>
      </c>
      <c r="AI19" s="23"/>
      <c r="AJ19" s="23"/>
      <c r="AK19" s="23"/>
      <c r="AL19" s="23"/>
      <c r="AM19" s="23"/>
      <c r="AN19" s="22" t="s">
        <v>339</v>
      </c>
      <c r="AO19" s="23"/>
      <c r="AP19" s="23"/>
      <c r="AU19" s="30" t="s">
        <v>340</v>
      </c>
    </row>
    <row r="20" ht="15.0" customHeight="1">
      <c r="A20" s="22" t="s">
        <v>341</v>
      </c>
      <c r="B20" s="23"/>
      <c r="C20" s="23"/>
      <c r="D20" s="23"/>
      <c r="E20" s="23"/>
      <c r="F20" s="23"/>
      <c r="G20" s="23"/>
      <c r="H20" s="23"/>
      <c r="I20" s="23"/>
      <c r="J20" s="23"/>
      <c r="K20" s="22" t="s">
        <v>258</v>
      </c>
      <c r="L20" s="22" t="s">
        <v>342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2" t="s">
        <v>227</v>
      </c>
      <c r="AC20" s="23"/>
      <c r="AD20" s="22" t="s">
        <v>54</v>
      </c>
      <c r="AE20" s="22" t="s">
        <v>343</v>
      </c>
      <c r="AF20" s="22" t="s">
        <v>344</v>
      </c>
      <c r="AG20" s="23"/>
      <c r="AH20" s="31">
        <v>11.8</v>
      </c>
      <c r="AI20" s="23"/>
      <c r="AJ20" s="23"/>
      <c r="AK20" s="23"/>
      <c r="AL20" s="23"/>
      <c r="AM20" s="23"/>
      <c r="AN20" s="23"/>
      <c r="AO20" s="23"/>
      <c r="AP20" s="23"/>
      <c r="AU20" s="30" t="s">
        <v>345</v>
      </c>
    </row>
    <row r="21" ht="15.0" customHeight="1">
      <c r="A21" s="22" t="s">
        <v>225</v>
      </c>
      <c r="B21" s="23"/>
      <c r="C21" s="23"/>
      <c r="D21" s="23"/>
      <c r="E21" s="23"/>
      <c r="F21" s="23"/>
      <c r="G21" s="23"/>
      <c r="H21" s="23"/>
      <c r="I21" s="23"/>
      <c r="J21" s="23"/>
      <c r="K21" s="22" t="s">
        <v>259</v>
      </c>
      <c r="L21" s="22" t="s">
        <v>346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2" t="s">
        <v>261</v>
      </c>
      <c r="AC21" s="23"/>
      <c r="AD21" s="22" t="s">
        <v>298</v>
      </c>
      <c r="AE21" s="23"/>
      <c r="AF21" s="22" t="s">
        <v>347</v>
      </c>
      <c r="AG21" s="23"/>
      <c r="AH21" s="31">
        <v>1.0</v>
      </c>
      <c r="AI21" s="23"/>
      <c r="AJ21" s="23"/>
      <c r="AK21" s="23"/>
      <c r="AL21" s="23"/>
      <c r="AM21" s="23"/>
      <c r="AN21" s="23"/>
      <c r="AO21" s="23"/>
      <c r="AP21" s="23"/>
      <c r="AU21" s="30" t="s">
        <v>348</v>
      </c>
    </row>
    <row r="22" ht="15.0" customHeight="1">
      <c r="A22" s="22" t="s">
        <v>349</v>
      </c>
      <c r="B22" s="23"/>
      <c r="C22" s="23"/>
      <c r="D22" s="23"/>
      <c r="E22" s="23"/>
      <c r="F22" s="23"/>
      <c r="G22" s="23"/>
      <c r="H22" s="23"/>
      <c r="I22" s="23"/>
      <c r="J22" s="23"/>
      <c r="K22" s="22" t="s">
        <v>275</v>
      </c>
      <c r="L22" s="22" t="s">
        <v>350</v>
      </c>
      <c r="M22" s="22" t="s">
        <v>351</v>
      </c>
      <c r="N22" s="22" t="s">
        <v>352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 t="s">
        <v>211</v>
      </c>
      <c r="AC22" s="23"/>
      <c r="AD22" s="23"/>
      <c r="AE22" s="23"/>
      <c r="AF22" s="22" t="s">
        <v>353</v>
      </c>
      <c r="AG22" s="23"/>
      <c r="AH22" s="22" t="s">
        <v>225</v>
      </c>
      <c r="AI22" s="23"/>
      <c r="AJ22" s="23"/>
      <c r="AK22" s="23"/>
      <c r="AL22" s="23"/>
      <c r="AM22" s="23"/>
      <c r="AN22" s="23"/>
      <c r="AO22" s="23"/>
      <c r="AP22" s="23"/>
      <c r="AU22" s="30" t="s">
        <v>354</v>
      </c>
    </row>
    <row r="23" ht="15.0" customHeight="1">
      <c r="A23" s="22" t="s">
        <v>355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 t="s">
        <v>182</v>
      </c>
      <c r="AC23" s="23"/>
      <c r="AD23" s="23"/>
      <c r="AE23" s="23"/>
      <c r="AF23" s="22" t="s">
        <v>356</v>
      </c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U23" s="30" t="s">
        <v>357</v>
      </c>
    </row>
    <row r="24" ht="15.0" customHeight="1">
      <c r="A24" s="22" t="s">
        <v>358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2"/>
      <c r="AC24" s="23"/>
      <c r="AD24" s="23"/>
      <c r="AE24" s="23"/>
      <c r="AF24" s="22" t="s">
        <v>359</v>
      </c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U24" s="30" t="s">
        <v>360</v>
      </c>
    </row>
    <row r="25" ht="15.0" customHeight="1">
      <c r="A25" s="22" t="s">
        <v>76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C25" s="23"/>
      <c r="AD25" s="23"/>
      <c r="AE25" s="23"/>
      <c r="AF25" s="22" t="s">
        <v>361</v>
      </c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U25" s="30" t="s">
        <v>362</v>
      </c>
    </row>
    <row r="26" ht="15.0" customHeight="1">
      <c r="A26" s="22" t="s">
        <v>363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C26" s="23"/>
      <c r="AD26" s="23"/>
      <c r="AE26" s="23"/>
      <c r="AF26" s="22" t="s">
        <v>364</v>
      </c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U26" s="30" t="s">
        <v>365</v>
      </c>
    </row>
    <row r="27" ht="15.0" customHeight="1">
      <c r="A27" s="22" t="s">
        <v>366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2" t="s">
        <v>367</v>
      </c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U27" s="30" t="s">
        <v>368</v>
      </c>
    </row>
    <row r="28" ht="15.0" customHeight="1">
      <c r="A28" s="22" t="s">
        <v>369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C28" s="23"/>
      <c r="AD28" s="23"/>
      <c r="AE28" s="23"/>
      <c r="AF28" s="22" t="s">
        <v>370</v>
      </c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U28" s="30" t="s">
        <v>371</v>
      </c>
    </row>
    <row r="29" ht="15.0" customHeight="1">
      <c r="A29" s="22" t="s">
        <v>372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2" t="s">
        <v>373</v>
      </c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U29" s="30" t="s">
        <v>374</v>
      </c>
    </row>
    <row r="30" ht="15.0" customHeight="1">
      <c r="A30" s="22" t="s">
        <v>375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2" t="s">
        <v>376</v>
      </c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U30" s="30" t="s">
        <v>377</v>
      </c>
    </row>
    <row r="31" ht="15.0" customHeight="1">
      <c r="A31" s="22" t="s">
        <v>378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2" t="s">
        <v>379</v>
      </c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ht="15.0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2" t="s">
        <v>380</v>
      </c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ht="15.0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2" t="s">
        <v>381</v>
      </c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ht="15.0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2" t="s">
        <v>382</v>
      </c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ht="15.0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2" t="s">
        <v>383</v>
      </c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ht="15.0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2" t="s">
        <v>384</v>
      </c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ht="15.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2" t="s">
        <v>385</v>
      </c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ht="15.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2" t="s">
        <v>386</v>
      </c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ht="15.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2" t="s">
        <v>387</v>
      </c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ht="15.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2" t="s">
        <v>388</v>
      </c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ht="15.0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2" t="s">
        <v>389</v>
      </c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ht="15.0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2" t="s">
        <v>390</v>
      </c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ht="15.0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2" t="s">
        <v>391</v>
      </c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ht="15.0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2" t="s">
        <v>392</v>
      </c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ht="15.0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2" t="s">
        <v>393</v>
      </c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ht="15.0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2" t="s">
        <v>394</v>
      </c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ht="15.0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2" t="s">
        <v>394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ht="15.0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2" t="s">
        <v>395</v>
      </c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ht="15.0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2" t="s">
        <v>396</v>
      </c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ht="15.0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2" t="s">
        <v>397</v>
      </c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ht="15.0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2" t="s">
        <v>398</v>
      </c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ht="15.0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2" t="s">
        <v>47</v>
      </c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ht="15.0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2" t="s">
        <v>399</v>
      </c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ht="15.0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2" t="s">
        <v>400</v>
      </c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ht="15.0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2" t="s">
        <v>401</v>
      </c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ht="15.0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2" t="s">
        <v>402</v>
      </c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ht="15.0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2" t="s">
        <v>403</v>
      </c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ht="15.0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2" t="s">
        <v>404</v>
      </c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ht="15.0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2" t="s">
        <v>405</v>
      </c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ht="15.0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2" t="s">
        <v>406</v>
      </c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ht="15.0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ht="15.0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ht="15.0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ht="15.0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</row>
    <row r="65" ht="15.0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</row>
    <row r="66" ht="15.0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ht="15.0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ht="15.0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</row>
    <row r="69" ht="15.0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ht="15.0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ht="15.0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ht="15.0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ht="15.0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ht="15.0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ht="15.0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ht="15.0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</row>
    <row r="969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</row>
    <row r="97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</row>
    <row r="97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</row>
    <row r="97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</row>
    <row r="977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</row>
    <row r="979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</row>
    <row r="98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</row>
    <row r="98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</row>
    <row r="98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</row>
    <row r="987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</row>
    <row r="989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</row>
    <row r="99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</row>
    <row r="99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</row>
    <row r="9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</row>
    <row r="997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14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</row>
    <row r="999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14"/>
      <c r="AF999" s="14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14"/>
      <c r="AF1000" s="14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</row>
    <row r="100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14"/>
      <c r="AF1001" s="14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</row>
    <row r="1002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14"/>
      <c r="AF1002" s="14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</row>
    <row r="1003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14"/>
      <c r="AF1003" s="14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</row>
    <row r="1004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14"/>
      <c r="AF1004" s="14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</row>
    <row r="100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14"/>
      <c r="AF1005" s="14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</row>
    <row r="1006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14"/>
      <c r="AF1006" s="14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</row>
    <row r="1007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14"/>
      <c r="AF1007" s="14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</row>
    <row r="1008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14"/>
      <c r="AF1008" s="14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</row>
    <row r="1009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14"/>
      <c r="AF1009" s="14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</row>
    <row r="1010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14"/>
      <c r="AF1010" s="14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</row>
    <row r="101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14"/>
      <c r="AF1011" s="14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</row>
    <row r="1012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14"/>
      <c r="AF1012" s="14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3.71"/>
    <col customWidth="1" min="2" max="2" width="29.43"/>
    <col customWidth="1" min="3" max="3" width="3.71"/>
    <col customWidth="1" min="4" max="4" width="28.71"/>
    <col customWidth="1" min="5" max="5" width="3.71"/>
    <col customWidth="1" min="6" max="6" width="28.71"/>
    <col customWidth="1" min="7" max="7" width="3.71"/>
  </cols>
  <sheetData>
    <row r="1">
      <c r="A1" s="35"/>
      <c r="B1" s="36"/>
      <c r="C1" s="35"/>
      <c r="D1" s="35"/>
      <c r="E1" s="35"/>
      <c r="F1" s="35"/>
      <c r="G1" s="35"/>
    </row>
    <row r="2" ht="33.75" customHeight="1">
      <c r="A2" s="35"/>
      <c r="B2" s="37" t="s">
        <v>407</v>
      </c>
      <c r="G2" s="35"/>
    </row>
    <row r="3">
      <c r="A3" s="35"/>
      <c r="B3" s="36"/>
      <c r="C3" s="35"/>
      <c r="D3" s="35"/>
      <c r="E3" s="35"/>
      <c r="F3" s="35"/>
      <c r="G3" s="35"/>
    </row>
    <row r="4" ht="33.75" customHeight="1">
      <c r="A4" s="35"/>
      <c r="B4" s="38" t="s">
        <v>408</v>
      </c>
      <c r="C4" s="35"/>
      <c r="D4" s="38" t="s">
        <v>226</v>
      </c>
      <c r="E4" s="35"/>
      <c r="F4" s="38" t="s">
        <v>409</v>
      </c>
      <c r="G4" s="35"/>
    </row>
    <row r="5" ht="33.75" customHeight="1">
      <c r="A5" s="35"/>
      <c r="B5" s="38" t="s">
        <v>76</v>
      </c>
      <c r="C5" s="35"/>
      <c r="D5" s="38" t="s">
        <v>410</v>
      </c>
      <c r="E5" s="35"/>
      <c r="F5" s="38" t="s">
        <v>411</v>
      </c>
      <c r="G5" s="35"/>
    </row>
    <row r="6" ht="33.75" customHeight="1">
      <c r="A6" s="35"/>
      <c r="B6" s="38" t="s">
        <v>107</v>
      </c>
      <c r="C6" s="35"/>
      <c r="D6" s="38" t="s">
        <v>412</v>
      </c>
      <c r="E6" s="35"/>
      <c r="F6" s="38" t="s">
        <v>413</v>
      </c>
      <c r="G6" s="35"/>
    </row>
    <row r="7" ht="33.75" customHeight="1">
      <c r="A7" s="35"/>
      <c r="B7" s="38" t="s">
        <v>414</v>
      </c>
      <c r="C7" s="35"/>
      <c r="D7" s="38" t="s">
        <v>415</v>
      </c>
      <c r="E7" s="35"/>
      <c r="F7" s="38" t="s">
        <v>416</v>
      </c>
      <c r="G7" s="35"/>
    </row>
    <row r="8" ht="33.75" customHeight="1">
      <c r="A8" s="35"/>
      <c r="B8" s="38" t="s">
        <v>417</v>
      </c>
      <c r="C8" s="35"/>
      <c r="D8" s="38" t="s">
        <v>78</v>
      </c>
      <c r="E8" s="35"/>
      <c r="F8" s="38" t="s">
        <v>418</v>
      </c>
      <c r="G8" s="35"/>
    </row>
    <row r="9" ht="33.75" customHeight="1">
      <c r="A9" s="35"/>
      <c r="B9" s="38" t="s">
        <v>419</v>
      </c>
      <c r="C9" s="35"/>
      <c r="D9" s="38" t="s">
        <v>298</v>
      </c>
      <c r="E9" s="35"/>
      <c r="F9" s="38" t="s">
        <v>420</v>
      </c>
      <c r="G9" s="35"/>
    </row>
    <row r="10" ht="33.75" customHeight="1">
      <c r="A10" s="35"/>
      <c r="B10" s="38" t="s">
        <v>421</v>
      </c>
      <c r="C10" s="35"/>
      <c r="D10" s="38" t="s">
        <v>422</v>
      </c>
      <c r="E10" s="35"/>
      <c r="F10" s="38" t="s">
        <v>423</v>
      </c>
      <c r="G10" s="35"/>
    </row>
    <row r="11">
      <c r="A11" s="35"/>
      <c r="B11" s="35"/>
      <c r="C11" s="35"/>
      <c r="D11" s="35"/>
      <c r="E11" s="35"/>
      <c r="F11" s="35"/>
      <c r="G11" s="35"/>
    </row>
  </sheetData>
  <mergeCells count="1">
    <mergeCell ref="B2:F2"/>
  </mergeCells>
  <hyperlinks>
    <hyperlink display="Administrativa y Atención al Ciudadano" location="Adm_y_Aten_Ciu!A1" ref="B4"/>
    <hyperlink display="Financiera" location="Financiera!A1" ref="D4"/>
    <hyperlink display="R_Barrancabermeja" location="R_Barrancabermeja!A1" ref="F4"/>
    <hyperlink display="Comunicaciones" location="Comunicaciones!A1" ref="B5"/>
    <hyperlink display="G_Documental" location="G_Documental!A1" ref="D5"/>
    <hyperlink display="R_Barranquilla" location="R_Barranquilla!A1" ref="F5"/>
    <hyperlink display="Contratos" location="Contratos!A1" ref="B6"/>
    <hyperlink display="OA_Juridica" location="OA_Juridica!A1" ref="D6"/>
    <hyperlink display="R_Bogota" location="R_Bogota!A1" ref="F6"/>
    <hyperlink display="C_Interno" location="C_Interno!A1" ref="B7"/>
    <hyperlink display="OGCI" location="OGCI!A1" ref="D7"/>
    <hyperlink display="R_Cali" location="R_Cali!A1" ref="F7"/>
    <hyperlink display="CI_Disciplinario" location="CI_Disciplinario!A1" ref="B8"/>
    <hyperlink display="Planeación" location="Planeacion!A1" ref="D8"/>
    <hyperlink display="R_Magangue" location="R_Magangue!A1" ref="F8"/>
    <hyperlink display="DTAF" location="DTAF!A1" ref="B9"/>
    <hyperlink display="Sistemas" location="Sistemas!A1" ref="D9"/>
    <hyperlink display="R_Medellin" location="R_Medellin!A1" ref="F9"/>
    <hyperlink display="DTIV" location="DTIV!A1" ref="B10"/>
    <hyperlink display="T_Humano" location="T_Humano!A1" ref="D10"/>
    <hyperlink display="R_Villavicencio" location="R_Villavicencio!A1" ref="F10"/>
  </hyperlin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268</v>
      </c>
      <c r="D3" s="64" t="s">
        <v>45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60</v>
      </c>
      <c r="M3" s="67" t="s">
        <v>92</v>
      </c>
      <c r="N3" s="67" t="s">
        <v>453</v>
      </c>
      <c r="O3" s="68">
        <v>1.0</v>
      </c>
      <c r="P3" s="69">
        <v>1.0</v>
      </c>
      <c r="Q3" s="70" t="s">
        <v>454</v>
      </c>
      <c r="R3" s="71" t="s">
        <v>455</v>
      </c>
      <c r="S3" s="71" t="s">
        <v>44</v>
      </c>
      <c r="T3" s="69">
        <v>0.0</v>
      </c>
      <c r="U3" s="69">
        <v>0.0</v>
      </c>
      <c r="V3" s="69">
        <v>0.0</v>
      </c>
      <c r="W3" s="69">
        <v>1.0</v>
      </c>
      <c r="X3" s="70" t="s">
        <v>456</v>
      </c>
      <c r="Y3" s="71" t="s">
        <v>457</v>
      </c>
      <c r="Z3" s="71" t="s">
        <v>458</v>
      </c>
      <c r="AA3" s="71" t="s">
        <v>459</v>
      </c>
      <c r="AB3" s="72" t="s">
        <v>460</v>
      </c>
      <c r="AC3" s="63" t="s">
        <v>83</v>
      </c>
      <c r="AD3" s="63" t="s">
        <v>84</v>
      </c>
      <c r="AE3" s="63" t="s">
        <v>85</v>
      </c>
      <c r="AF3" s="63" t="s">
        <v>216</v>
      </c>
      <c r="AG3" s="63" t="s">
        <v>322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268</v>
      </c>
      <c r="D4" s="64" t="s">
        <v>45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60</v>
      </c>
      <c r="M4" s="67" t="s">
        <v>92</v>
      </c>
      <c r="N4" s="67" t="s">
        <v>461</v>
      </c>
      <c r="O4" s="81"/>
      <c r="P4" s="69">
        <v>1.0</v>
      </c>
      <c r="Q4" s="70" t="s">
        <v>462</v>
      </c>
      <c r="R4" s="71" t="s">
        <v>455</v>
      </c>
      <c r="S4" s="71" t="s">
        <v>44</v>
      </c>
      <c r="T4" s="69">
        <v>0.0</v>
      </c>
      <c r="U4" s="69">
        <v>0.0</v>
      </c>
      <c r="V4" s="69">
        <v>0.0</v>
      </c>
      <c r="W4" s="69">
        <v>1.0</v>
      </c>
      <c r="X4" s="70" t="s">
        <v>456</v>
      </c>
      <c r="Y4" s="71" t="s">
        <v>457</v>
      </c>
      <c r="Z4" s="71" t="s">
        <v>463</v>
      </c>
      <c r="AA4" s="71" t="s">
        <v>459</v>
      </c>
      <c r="AB4" s="72" t="s">
        <v>464</v>
      </c>
      <c r="AC4" s="63" t="s">
        <v>231</v>
      </c>
      <c r="AD4" s="63" t="s">
        <v>84</v>
      </c>
      <c r="AE4" s="63" t="s">
        <v>115</v>
      </c>
      <c r="AF4" s="63" t="s">
        <v>329</v>
      </c>
      <c r="AG4" s="63" t="s">
        <v>322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268</v>
      </c>
      <c r="D5" s="64" t="s">
        <v>45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333</v>
      </c>
      <c r="K5" s="66" t="s">
        <v>112</v>
      </c>
      <c r="L5" s="67" t="s">
        <v>60</v>
      </c>
      <c r="M5" s="67" t="s">
        <v>92</v>
      </c>
      <c r="N5" s="67" t="s">
        <v>465</v>
      </c>
      <c r="O5" s="81"/>
      <c r="P5" s="69">
        <v>1.0</v>
      </c>
      <c r="Q5" s="70" t="s">
        <v>466</v>
      </c>
      <c r="R5" s="71" t="s">
        <v>455</v>
      </c>
      <c r="S5" s="71" t="s">
        <v>44</v>
      </c>
      <c r="T5" s="69">
        <v>0.0</v>
      </c>
      <c r="U5" s="69">
        <v>0.0</v>
      </c>
      <c r="V5" s="69">
        <v>0.0</v>
      </c>
      <c r="W5" s="69">
        <v>1.0</v>
      </c>
      <c r="X5" s="70" t="s">
        <v>456</v>
      </c>
      <c r="Y5" s="71" t="s">
        <v>457</v>
      </c>
      <c r="Z5" s="71" t="s">
        <v>463</v>
      </c>
      <c r="AA5" s="71" t="s">
        <v>459</v>
      </c>
      <c r="AB5" s="72" t="s">
        <v>464</v>
      </c>
      <c r="AC5" s="63" t="s">
        <v>231</v>
      </c>
      <c r="AD5" s="63" t="s">
        <v>84</v>
      </c>
      <c r="AE5" s="63" t="s">
        <v>115</v>
      </c>
      <c r="AF5" s="63" t="s">
        <v>329</v>
      </c>
      <c r="AG5" s="63" t="s">
        <v>322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172</v>
      </c>
      <c r="D6" s="64" t="s">
        <v>45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153</v>
      </c>
      <c r="I6" s="66" t="s">
        <v>243</v>
      </c>
      <c r="J6" s="66" t="s">
        <v>335</v>
      </c>
      <c r="K6" s="66" t="s">
        <v>112</v>
      </c>
      <c r="L6" s="67" t="s">
        <v>60</v>
      </c>
      <c r="M6" s="67" t="s">
        <v>61</v>
      </c>
      <c r="N6" s="67" t="s">
        <v>467</v>
      </c>
      <c r="O6" s="81"/>
      <c r="P6" s="68">
        <v>7.0</v>
      </c>
      <c r="Q6" s="70" t="s">
        <v>468</v>
      </c>
      <c r="R6" s="71" t="s">
        <v>469</v>
      </c>
      <c r="S6" s="71" t="s">
        <v>75</v>
      </c>
      <c r="T6" s="68">
        <v>0.0</v>
      </c>
      <c r="U6" s="68">
        <v>2.0</v>
      </c>
      <c r="V6" s="68">
        <v>2.0</v>
      </c>
      <c r="W6" s="68">
        <v>3.0</v>
      </c>
      <c r="X6" s="70" t="s">
        <v>456</v>
      </c>
      <c r="Y6" s="71" t="s">
        <v>457</v>
      </c>
      <c r="Z6" s="71" t="s">
        <v>463</v>
      </c>
      <c r="AA6" s="71" t="s">
        <v>459</v>
      </c>
      <c r="AB6" s="72" t="s">
        <v>464</v>
      </c>
      <c r="AC6" s="63" t="s">
        <v>290</v>
      </c>
      <c r="AD6" s="63" t="s">
        <v>84</v>
      </c>
      <c r="AE6" s="63" t="s">
        <v>115</v>
      </c>
      <c r="AF6" s="63" t="s">
        <v>329</v>
      </c>
      <c r="AG6" s="63" t="s">
        <v>322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 de Educación Informal para la Gestión Administrativa</v>
      </c>
      <c r="AT6" s="80" t="s">
        <v>242</v>
      </c>
      <c r="AU6" s="80" t="s">
        <v>243</v>
      </c>
      <c r="AV6" s="80"/>
      <c r="AW6" s="80"/>
      <c r="AX6" s="79"/>
      <c r="AY6" s="78" t="str">
        <f t="array" ref="AY6:BD6">INDEX(R_Pro__Act,MATCH(I6,L_Prod,0))</f>
        <v>Optimizar la gestión administrativa, operativa, de planeación, seguimiento y control de la Entidad, para mejorar el desempeño institucional y la prestación del servicio a nivel nacional</v>
      </c>
      <c r="AZ6" s="80" t="s">
        <v>334</v>
      </c>
      <c r="BA6" s="80" t="s">
        <v>335</v>
      </c>
      <c r="BB6" s="80" t="s">
        <v>336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172</v>
      </c>
      <c r="D7" s="64" t="s">
        <v>45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153</v>
      </c>
      <c r="I7" s="66" t="s">
        <v>243</v>
      </c>
      <c r="J7" s="66" t="s">
        <v>335</v>
      </c>
      <c r="K7" s="66" t="s">
        <v>112</v>
      </c>
      <c r="L7" s="67" t="s">
        <v>60</v>
      </c>
      <c r="M7" s="67" t="s">
        <v>61</v>
      </c>
      <c r="N7" s="67" t="s">
        <v>467</v>
      </c>
      <c r="O7" s="81"/>
      <c r="P7" s="68">
        <v>2.0</v>
      </c>
      <c r="Q7" s="70" t="s">
        <v>470</v>
      </c>
      <c r="R7" s="71" t="s">
        <v>471</v>
      </c>
      <c r="S7" s="71" t="s">
        <v>75</v>
      </c>
      <c r="T7" s="81"/>
      <c r="U7" s="68">
        <v>1.0</v>
      </c>
      <c r="V7" s="81"/>
      <c r="W7" s="68">
        <v>1.0</v>
      </c>
      <c r="X7" s="82"/>
      <c r="Y7" s="83"/>
      <c r="Z7" s="83"/>
      <c r="AA7" s="83"/>
      <c r="AB7" s="73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 de Educación Informal para la Gestión Administrativa</v>
      </c>
      <c r="AT7" s="80" t="s">
        <v>242</v>
      </c>
      <c r="AU7" s="80" t="s">
        <v>243</v>
      </c>
      <c r="AV7" s="80"/>
      <c r="AW7" s="80"/>
      <c r="AX7" s="79"/>
      <c r="AY7" s="78" t="str">
        <f t="array" ref="AY7:BD7">INDEX(R_Pro__Act,MATCH(I7,L_Prod,0))</f>
        <v>Optimizar la gestión administrativa, operativa, de planeación, seguimiento y control de la Entidad, para mejorar el desempeño institucional y la prestación del servicio a nivel nacional</v>
      </c>
      <c r="AZ7" s="80" t="s">
        <v>334</v>
      </c>
      <c r="BA7" s="80" t="s">
        <v>335</v>
      </c>
      <c r="BB7" s="80" t="s">
        <v>336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172</v>
      </c>
      <c r="D8" s="64" t="s">
        <v>45</v>
      </c>
      <c r="E8" s="64" t="s">
        <v>150</v>
      </c>
      <c r="F8" s="65">
        <f>IF(ISBLANK(E8),"",VLOOKUP(E8,R_Inf_Proy,2,0))</f>
        <v>2018011000241</v>
      </c>
      <c r="G8" s="65" t="str">
        <f>IF(ISBLANK(E8),"",VLOOKUP(E8,R_Inf_Proy,3,0))</f>
        <v>Fortalecimiento</v>
      </c>
      <c r="H8" s="66" t="s">
        <v>153</v>
      </c>
      <c r="I8" s="66" t="s">
        <v>243</v>
      </c>
      <c r="J8" s="66" t="s">
        <v>335</v>
      </c>
      <c r="K8" s="66" t="s">
        <v>112</v>
      </c>
      <c r="L8" s="67" t="s">
        <v>60</v>
      </c>
      <c r="M8" s="67" t="s">
        <v>61</v>
      </c>
      <c r="N8" s="67" t="s">
        <v>467</v>
      </c>
      <c r="O8" s="81"/>
      <c r="P8" s="68">
        <v>5.0</v>
      </c>
      <c r="Q8" s="70" t="s">
        <v>472</v>
      </c>
      <c r="R8" s="71" t="s">
        <v>473</v>
      </c>
      <c r="S8" s="71" t="s">
        <v>137</v>
      </c>
      <c r="T8" s="81"/>
      <c r="U8" s="68">
        <v>1.0</v>
      </c>
      <c r="V8" s="68">
        <v>2.0</v>
      </c>
      <c r="W8" s="68">
        <v>2.0</v>
      </c>
      <c r="X8" s="82"/>
      <c r="Y8" s="83"/>
      <c r="Z8" s="83"/>
      <c r="AA8" s="83"/>
      <c r="AB8" s="73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sistemas de gestión de la Entidad</v>
      </c>
      <c r="AP8" s="78" t="s">
        <v>154</v>
      </c>
      <c r="AQ8" s="78" t="s">
        <v>155</v>
      </c>
      <c r="AR8" s="79"/>
      <c r="AS8" s="78" t="str">
        <f t="array" ref="AS8:AV8">INDEX(R_ObjEsp__Prod,MATCH(H8,L_ObjEsp,0))</f>
        <v>Servicio de Educación Informal para la Gestión Administrativa</v>
      </c>
      <c r="AT8" s="80" t="s">
        <v>242</v>
      </c>
      <c r="AU8" s="80" t="s">
        <v>243</v>
      </c>
      <c r="AV8" s="80"/>
      <c r="AW8" s="80"/>
      <c r="AX8" s="79"/>
      <c r="AY8" s="78" t="str">
        <f t="array" ref="AY8:BD8">INDEX(R_Pro__Act,MATCH(I8,L_Prod,0))</f>
        <v>Optimizar la gestión administrativa, operativa, de planeación, seguimiento y control de la Entidad, para mejorar el desempeño institucional y la prestación del servicio a nivel nacional</v>
      </c>
      <c r="AZ8" s="80" t="s">
        <v>334</v>
      </c>
      <c r="BA8" s="80" t="s">
        <v>335</v>
      </c>
      <c r="BB8" s="80" t="s">
        <v>336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172</v>
      </c>
      <c r="D9" s="64" t="s">
        <v>45</v>
      </c>
      <c r="E9" s="64" t="s">
        <v>150</v>
      </c>
      <c r="F9" s="65">
        <f>IF(ISBLANK(E9),"",VLOOKUP(E9,R_Inf_Proy,2,0))</f>
        <v>2018011000241</v>
      </c>
      <c r="G9" s="65" t="str">
        <f>IF(ISBLANK(E9),"",VLOOKUP(E9,R_Inf_Proy,3,0))</f>
        <v>Fortalecimiento</v>
      </c>
      <c r="H9" s="66" t="s">
        <v>153</v>
      </c>
      <c r="I9" s="66" t="s">
        <v>243</v>
      </c>
      <c r="J9" s="66" t="s">
        <v>335</v>
      </c>
      <c r="K9" s="66" t="s">
        <v>112</v>
      </c>
      <c r="L9" s="67" t="s">
        <v>60</v>
      </c>
      <c r="M9" s="67" t="s">
        <v>61</v>
      </c>
      <c r="N9" s="67" t="s">
        <v>467</v>
      </c>
      <c r="O9" s="84"/>
      <c r="P9" s="68">
        <v>1.0</v>
      </c>
      <c r="Q9" s="70" t="s">
        <v>474</v>
      </c>
      <c r="R9" s="71" t="s">
        <v>475</v>
      </c>
      <c r="S9" s="71" t="s">
        <v>44</v>
      </c>
      <c r="T9" s="68">
        <v>1.0</v>
      </c>
      <c r="U9" s="81"/>
      <c r="V9" s="81"/>
      <c r="W9" s="84"/>
      <c r="X9" s="82"/>
      <c r="Y9" s="83"/>
      <c r="Z9" s="83"/>
      <c r="AA9" s="83"/>
      <c r="AB9" s="73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sistemas de gestión de la Entidad</v>
      </c>
      <c r="AP9" s="78" t="s">
        <v>154</v>
      </c>
      <c r="AQ9" s="78" t="s">
        <v>155</v>
      </c>
      <c r="AR9" s="79"/>
      <c r="AS9" s="78" t="str">
        <f t="array" ref="AS9:AV9">INDEX(R_ObjEsp__Prod,MATCH(H9,L_ObjEsp,0))</f>
        <v>Servicio de Educación Informal para la Gestión Administrativa</v>
      </c>
      <c r="AT9" s="80" t="s">
        <v>242</v>
      </c>
      <c r="AU9" s="80" t="s">
        <v>243</v>
      </c>
      <c r="AV9" s="80"/>
      <c r="AW9" s="80"/>
      <c r="AX9" s="79"/>
      <c r="AY9" s="78" t="str">
        <f t="array" ref="AY9:BD9">INDEX(R_Pro__Act,MATCH(I9,L_Prod,0))</f>
        <v>Optimizar la gestión administrativa, operativa, de planeación, seguimiento y control de la Entidad, para mejorar el desempeño institucional y la prestación del servicio a nivel nacional</v>
      </c>
      <c r="AZ9" s="80" t="s">
        <v>334</v>
      </c>
      <c r="BA9" s="80" t="s">
        <v>335</v>
      </c>
      <c r="BB9" s="80" t="s">
        <v>336</v>
      </c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172</v>
      </c>
      <c r="D10" s="64" t="s">
        <v>45</v>
      </c>
      <c r="E10" s="64" t="s">
        <v>150</v>
      </c>
      <c r="F10" s="65">
        <f>IF(ISBLANK(E10),"",VLOOKUP(E10,R_Inf_Proy,2,0))</f>
        <v>2018011000241</v>
      </c>
      <c r="G10" s="65" t="str">
        <f>IF(ISBLANK(E10),"",VLOOKUP(E10,R_Inf_Proy,3,0))</f>
        <v>Fortalecimiento</v>
      </c>
      <c r="H10" s="66" t="s">
        <v>153</v>
      </c>
      <c r="I10" s="66" t="s">
        <v>243</v>
      </c>
      <c r="J10" s="66" t="s">
        <v>335</v>
      </c>
      <c r="K10" s="66" t="s">
        <v>112</v>
      </c>
      <c r="L10" s="67" t="s">
        <v>60</v>
      </c>
      <c r="M10" s="67" t="s">
        <v>61</v>
      </c>
      <c r="N10" s="67" t="s">
        <v>467</v>
      </c>
      <c r="O10" s="81"/>
      <c r="P10" s="68">
        <v>4.0</v>
      </c>
      <c r="Q10" s="70" t="s">
        <v>476</v>
      </c>
      <c r="R10" s="71" t="s">
        <v>477</v>
      </c>
      <c r="S10" s="71" t="s">
        <v>137</v>
      </c>
      <c r="T10" s="68">
        <v>1.0</v>
      </c>
      <c r="U10" s="68">
        <v>1.0</v>
      </c>
      <c r="V10" s="68">
        <v>1.0</v>
      </c>
      <c r="W10" s="68">
        <v>1.0</v>
      </c>
      <c r="X10" s="82"/>
      <c r="Y10" s="83"/>
      <c r="Z10" s="83"/>
      <c r="AA10" s="83"/>
      <c r="AB10" s="73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:AQ10">INDEX(R_Proy__ObjEsp,MATCH(E10,L_Proy,0))</f>
        <v>Fortalecer los sistemas de gestión de la Entidad</v>
      </c>
      <c r="AP10" s="78" t="s">
        <v>154</v>
      </c>
      <c r="AQ10" s="78" t="s">
        <v>155</v>
      </c>
      <c r="AR10" s="79"/>
      <c r="AS10" s="78" t="str">
        <f t="array" ref="AS10:AV10">INDEX(R_ObjEsp__Prod,MATCH(H10,L_ObjEsp,0))</f>
        <v>Servicio de Educación Informal para la Gestión Administrativa</v>
      </c>
      <c r="AT10" s="80" t="s">
        <v>242</v>
      </c>
      <c r="AU10" s="80" t="s">
        <v>243</v>
      </c>
      <c r="AV10" s="80"/>
      <c r="AW10" s="80"/>
      <c r="AX10" s="79"/>
      <c r="AY10" s="78" t="str">
        <f t="array" ref="AY10:BD10">INDEX(R_Pro__Act,MATCH(I10,L_Prod,0))</f>
        <v>Optimizar la gestión administrativa, operativa, de planeación, seguimiento y control de la Entidad, para mejorar el desempeño institucional y la prestación del servicio a nivel nacional</v>
      </c>
      <c r="AZ10" s="80" t="s">
        <v>334</v>
      </c>
      <c r="BA10" s="80" t="s">
        <v>335</v>
      </c>
      <c r="BB10" s="80" t="s">
        <v>336</v>
      </c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147</v>
      </c>
      <c r="D3" s="64" t="s">
        <v>76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60</v>
      </c>
      <c r="M3" s="67" t="s">
        <v>61</v>
      </c>
      <c r="N3" s="67" t="s">
        <v>478</v>
      </c>
      <c r="O3" s="68"/>
      <c r="P3" s="108">
        <v>30.0</v>
      </c>
      <c r="Q3" s="70" t="s">
        <v>479</v>
      </c>
      <c r="R3" s="71" t="s">
        <v>480</v>
      </c>
      <c r="S3" s="71" t="s">
        <v>179</v>
      </c>
      <c r="T3" s="109">
        <v>8.0</v>
      </c>
      <c r="U3" s="109">
        <v>10.0</v>
      </c>
      <c r="V3" s="109">
        <v>5.0</v>
      </c>
      <c r="W3" s="109">
        <v>7.0</v>
      </c>
      <c r="X3" s="70" t="s">
        <v>76</v>
      </c>
      <c r="Y3" s="71" t="s">
        <v>481</v>
      </c>
      <c r="Z3" s="71" t="s">
        <v>482</v>
      </c>
      <c r="AA3" s="71" t="s">
        <v>483</v>
      </c>
      <c r="AB3" s="72" t="s">
        <v>464</v>
      </c>
      <c r="AC3" s="63" t="s">
        <v>302</v>
      </c>
      <c r="AD3" s="63" t="s">
        <v>84</v>
      </c>
      <c r="AE3" s="63" t="s">
        <v>169</v>
      </c>
      <c r="AF3" s="63" t="s">
        <v>339</v>
      </c>
      <c r="AG3" s="63" t="s">
        <v>282</v>
      </c>
      <c r="AH3" s="63" t="s">
        <v>252</v>
      </c>
      <c r="AI3" s="73"/>
      <c r="AJ3" s="73"/>
      <c r="AK3" s="74"/>
      <c r="AL3" s="75"/>
      <c r="AM3" s="76" t="str">
        <f t="shared" ref="AM3:AM100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97.5" customHeight="1">
      <c r="A4" s="39"/>
      <c r="B4" s="62">
        <v>2.0</v>
      </c>
      <c r="C4" s="63" t="s">
        <v>147</v>
      </c>
      <c r="D4" s="64" t="s">
        <v>76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60</v>
      </c>
      <c r="M4" s="67" t="s">
        <v>92</v>
      </c>
      <c r="N4" s="67" t="s">
        <v>484</v>
      </c>
      <c r="O4" s="81"/>
      <c r="P4" s="110">
        <v>1.0</v>
      </c>
      <c r="Q4" s="70" t="s">
        <v>485</v>
      </c>
      <c r="R4" s="71" t="s">
        <v>486</v>
      </c>
      <c r="S4" s="71" t="s">
        <v>179</v>
      </c>
      <c r="T4" s="69">
        <v>1.0</v>
      </c>
      <c r="U4" s="69">
        <v>1.0</v>
      </c>
      <c r="V4" s="69">
        <v>1.0</v>
      </c>
      <c r="W4" s="69">
        <v>1.0</v>
      </c>
      <c r="X4" s="70" t="s">
        <v>76</v>
      </c>
      <c r="Y4" s="71" t="s">
        <v>481</v>
      </c>
      <c r="Z4" s="71" t="s">
        <v>482</v>
      </c>
      <c r="AA4" s="71" t="s">
        <v>483</v>
      </c>
      <c r="AB4" s="72" t="s">
        <v>464</v>
      </c>
      <c r="AC4" s="63" t="s">
        <v>302</v>
      </c>
      <c r="AD4" s="63" t="s">
        <v>84</v>
      </c>
      <c r="AE4" s="63" t="s">
        <v>169</v>
      </c>
      <c r="AF4" s="63" t="s">
        <v>339</v>
      </c>
      <c r="AG4" s="63" t="s">
        <v>282</v>
      </c>
      <c r="AH4" s="63" t="s">
        <v>252</v>
      </c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147</v>
      </c>
      <c r="D5" s="64" t="s">
        <v>76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333</v>
      </c>
      <c r="K5" s="66" t="s">
        <v>112</v>
      </c>
      <c r="L5" s="67" t="s">
        <v>487</v>
      </c>
      <c r="M5" s="67" t="s">
        <v>61</v>
      </c>
      <c r="N5" s="67" t="s">
        <v>488</v>
      </c>
      <c r="O5" s="81"/>
      <c r="P5" s="68">
        <v>20.0</v>
      </c>
      <c r="Q5" s="70" t="s">
        <v>489</v>
      </c>
      <c r="R5" s="71" t="s">
        <v>490</v>
      </c>
      <c r="S5" s="71" t="s">
        <v>179</v>
      </c>
      <c r="T5" s="109">
        <v>5.0</v>
      </c>
      <c r="U5" s="109">
        <v>7.0</v>
      </c>
      <c r="V5" s="109">
        <v>4.0</v>
      </c>
      <c r="W5" s="109">
        <v>4.0</v>
      </c>
      <c r="X5" s="70" t="s">
        <v>76</v>
      </c>
      <c r="Y5" s="71" t="s">
        <v>481</v>
      </c>
      <c r="Z5" s="71" t="s">
        <v>482</v>
      </c>
      <c r="AA5" s="71" t="s">
        <v>483</v>
      </c>
      <c r="AB5" s="72" t="s">
        <v>464</v>
      </c>
      <c r="AC5" s="63" t="s">
        <v>302</v>
      </c>
      <c r="AD5" s="63" t="s">
        <v>84</v>
      </c>
      <c r="AE5" s="63" t="s">
        <v>169</v>
      </c>
      <c r="AF5" s="63" t="s">
        <v>339</v>
      </c>
      <c r="AG5" s="63" t="s">
        <v>282</v>
      </c>
      <c r="AH5" s="63" t="s">
        <v>252</v>
      </c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147</v>
      </c>
      <c r="D6" s="64" t="s">
        <v>76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153</v>
      </c>
      <c r="I6" s="66" t="s">
        <v>243</v>
      </c>
      <c r="J6" s="66" t="s">
        <v>333</v>
      </c>
      <c r="K6" s="66" t="s">
        <v>112</v>
      </c>
      <c r="L6" s="67" t="s">
        <v>60</v>
      </c>
      <c r="M6" s="67" t="s">
        <v>61</v>
      </c>
      <c r="N6" s="67" t="s">
        <v>491</v>
      </c>
      <c r="O6" s="81"/>
      <c r="P6" s="111">
        <v>60.0</v>
      </c>
      <c r="Q6" s="70" t="s">
        <v>492</v>
      </c>
      <c r="R6" s="71" t="s">
        <v>493</v>
      </c>
      <c r="S6" s="71" t="s">
        <v>179</v>
      </c>
      <c r="T6" s="68">
        <v>15.0</v>
      </c>
      <c r="U6" s="68">
        <v>25.0</v>
      </c>
      <c r="V6" s="68">
        <v>10.0</v>
      </c>
      <c r="W6" s="68">
        <v>10.0</v>
      </c>
      <c r="X6" s="70" t="s">
        <v>76</v>
      </c>
      <c r="Y6" s="71" t="s">
        <v>481</v>
      </c>
      <c r="Z6" s="71" t="s">
        <v>482</v>
      </c>
      <c r="AA6" s="71" t="s">
        <v>483</v>
      </c>
      <c r="AB6" s="72" t="s">
        <v>464</v>
      </c>
      <c r="AC6" s="63" t="s">
        <v>302</v>
      </c>
      <c r="AD6" s="63" t="s">
        <v>84</v>
      </c>
      <c r="AE6" s="63" t="s">
        <v>169</v>
      </c>
      <c r="AF6" s="63" t="s">
        <v>339</v>
      </c>
      <c r="AG6" s="63" t="s">
        <v>282</v>
      </c>
      <c r="AH6" s="63" t="s">
        <v>252</v>
      </c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 de Educación Informal para la Gestión Administrativa</v>
      </c>
      <c r="AT6" s="80" t="s">
        <v>242</v>
      </c>
      <c r="AU6" s="80" t="s">
        <v>243</v>
      </c>
      <c r="AV6" s="80"/>
      <c r="AW6" s="80"/>
      <c r="AX6" s="79"/>
      <c r="AY6" s="78" t="str">
        <f t="array" ref="AY6:BD6">INDEX(R_Pro__Act,MATCH(I6,L_Prod,0))</f>
        <v>Optimizar la gestión administrativa, operativa, de planeación, seguimiento y control de la Entidad, para mejorar el desempeño institucional y la prestación del servicio a nivel nacional</v>
      </c>
      <c r="AZ6" s="80" t="s">
        <v>334</v>
      </c>
      <c r="BA6" s="80" t="s">
        <v>335</v>
      </c>
      <c r="BB6" s="80" t="s">
        <v>336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88.5" customHeight="1">
      <c r="A7" s="39"/>
      <c r="B7" s="62">
        <v>5.0</v>
      </c>
      <c r="C7" s="63" t="s">
        <v>147</v>
      </c>
      <c r="D7" s="64" t="s">
        <v>76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153</v>
      </c>
      <c r="I7" s="66" t="s">
        <v>243</v>
      </c>
      <c r="J7" s="66" t="s">
        <v>333</v>
      </c>
      <c r="K7" s="66" t="s">
        <v>112</v>
      </c>
      <c r="L7" s="67" t="s">
        <v>60</v>
      </c>
      <c r="M7" s="67" t="s">
        <v>61</v>
      </c>
      <c r="N7" s="67" t="s">
        <v>494</v>
      </c>
      <c r="O7" s="81"/>
      <c r="P7" s="68">
        <v>15.0</v>
      </c>
      <c r="Q7" s="70" t="s">
        <v>495</v>
      </c>
      <c r="R7" s="71" t="s">
        <v>496</v>
      </c>
      <c r="S7" s="71" t="s">
        <v>497</v>
      </c>
      <c r="T7" s="68">
        <v>5.0</v>
      </c>
      <c r="U7" s="68">
        <v>5.0</v>
      </c>
      <c r="V7" s="68">
        <v>3.0</v>
      </c>
      <c r="W7" s="68">
        <v>2.0</v>
      </c>
      <c r="X7" s="70" t="s">
        <v>76</v>
      </c>
      <c r="Y7" s="71" t="s">
        <v>481</v>
      </c>
      <c r="Z7" s="71" t="s">
        <v>482</v>
      </c>
      <c r="AA7" s="71" t="s">
        <v>483</v>
      </c>
      <c r="AB7" s="72" t="s">
        <v>464</v>
      </c>
      <c r="AC7" s="63" t="s">
        <v>302</v>
      </c>
      <c r="AD7" s="63" t="s">
        <v>84</v>
      </c>
      <c r="AE7" s="63" t="s">
        <v>169</v>
      </c>
      <c r="AF7" s="63" t="s">
        <v>291</v>
      </c>
      <c r="AG7" s="63" t="s">
        <v>282</v>
      </c>
      <c r="AH7" s="63" t="s">
        <v>252</v>
      </c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 de Educación Informal para la Gestión Administrativa</v>
      </c>
      <c r="AT7" s="80" t="s">
        <v>242</v>
      </c>
      <c r="AU7" s="80" t="s">
        <v>243</v>
      </c>
      <c r="AV7" s="80"/>
      <c r="AW7" s="80"/>
      <c r="AX7" s="79"/>
      <c r="AY7" s="78" t="str">
        <f t="array" ref="AY7:BD7">INDEX(R_Pro__Act,MATCH(I7,L_Prod,0))</f>
        <v>Optimizar la gestión administrativa, operativa, de planeación, seguimiento y control de la Entidad, para mejorar el desempeño institucional y la prestación del servicio a nivel nacional</v>
      </c>
      <c r="AZ7" s="80" t="s">
        <v>334</v>
      </c>
      <c r="BA7" s="80" t="s">
        <v>335</v>
      </c>
      <c r="BB7" s="80" t="s">
        <v>336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147</v>
      </c>
      <c r="D8" s="64" t="s">
        <v>76</v>
      </c>
      <c r="E8" s="64" t="s">
        <v>150</v>
      </c>
      <c r="F8" s="65">
        <f>IF(ISBLANK(E8),"",VLOOKUP(E8,R_Inf_Proy,2,0))</f>
        <v>2018011000241</v>
      </c>
      <c r="G8" s="65" t="str">
        <f>IF(ISBLANK(E8),"",VLOOKUP(E8,R_Inf_Proy,3,0))</f>
        <v>Fortalecimiento</v>
      </c>
      <c r="H8" s="66" t="s">
        <v>153</v>
      </c>
      <c r="I8" s="66" t="s">
        <v>243</v>
      </c>
      <c r="J8" s="66" t="s">
        <v>333</v>
      </c>
      <c r="K8" s="66" t="s">
        <v>112</v>
      </c>
      <c r="L8" s="67" t="s">
        <v>60</v>
      </c>
      <c r="M8" s="67" t="s">
        <v>61</v>
      </c>
      <c r="N8" s="67" t="s">
        <v>498</v>
      </c>
      <c r="O8" s="81"/>
      <c r="P8" s="68">
        <v>10.0</v>
      </c>
      <c r="Q8" s="70" t="s">
        <v>499</v>
      </c>
      <c r="R8" s="71" t="s">
        <v>500</v>
      </c>
      <c r="S8" s="71" t="s">
        <v>179</v>
      </c>
      <c r="T8" s="68">
        <v>2.0</v>
      </c>
      <c r="U8" s="68">
        <v>4.0</v>
      </c>
      <c r="V8" s="68">
        <v>2.0</v>
      </c>
      <c r="W8" s="68">
        <v>2.0</v>
      </c>
      <c r="X8" s="70" t="s">
        <v>76</v>
      </c>
      <c r="Y8" s="71" t="s">
        <v>481</v>
      </c>
      <c r="Z8" s="71" t="s">
        <v>482</v>
      </c>
      <c r="AA8" s="71" t="s">
        <v>483</v>
      </c>
      <c r="AB8" s="72" t="s">
        <v>464</v>
      </c>
      <c r="AC8" s="63" t="s">
        <v>302</v>
      </c>
      <c r="AD8" s="63" t="s">
        <v>84</v>
      </c>
      <c r="AE8" s="63" t="s">
        <v>169</v>
      </c>
      <c r="AF8" s="63" t="s">
        <v>339</v>
      </c>
      <c r="AG8" s="63" t="s">
        <v>282</v>
      </c>
      <c r="AH8" s="63" t="s">
        <v>252</v>
      </c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sistemas de gestión de la Entidad</v>
      </c>
      <c r="AP8" s="78" t="s">
        <v>154</v>
      </c>
      <c r="AQ8" s="78" t="s">
        <v>155</v>
      </c>
      <c r="AR8" s="79"/>
      <c r="AS8" s="78" t="str">
        <f t="array" ref="AS8:AV8">INDEX(R_ObjEsp__Prod,MATCH(H8,L_ObjEsp,0))</f>
        <v>Servicio de Educación Informal para la Gestión Administrativa</v>
      </c>
      <c r="AT8" s="80" t="s">
        <v>242</v>
      </c>
      <c r="AU8" s="80" t="s">
        <v>243</v>
      </c>
      <c r="AV8" s="80"/>
      <c r="AW8" s="80"/>
      <c r="AX8" s="79"/>
      <c r="AY8" s="78" t="str">
        <f t="array" ref="AY8:BD8">INDEX(R_Pro__Act,MATCH(I8,L_Prod,0))</f>
        <v>Optimizar la gestión administrativa, operativa, de planeación, seguimiento y control de la Entidad, para mejorar el desempeño institucional y la prestación del servicio a nivel nacional</v>
      </c>
      <c r="AZ8" s="80" t="s">
        <v>334</v>
      </c>
      <c r="BA8" s="80" t="s">
        <v>335</v>
      </c>
      <c r="BB8" s="80" t="s">
        <v>336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147</v>
      </c>
      <c r="D9" s="64" t="s">
        <v>76</v>
      </c>
      <c r="E9" s="64" t="s">
        <v>150</v>
      </c>
      <c r="F9" s="65">
        <f>IF(ISBLANK(E9),"",VLOOKUP(E9,R_Inf_Proy,2,0))</f>
        <v>2018011000241</v>
      </c>
      <c r="G9" s="65" t="str">
        <f>IF(ISBLANK(E9),"",VLOOKUP(E9,R_Inf_Proy,3,0))</f>
        <v>Fortalecimiento</v>
      </c>
      <c r="H9" s="66" t="s">
        <v>153</v>
      </c>
      <c r="I9" s="66" t="s">
        <v>243</v>
      </c>
      <c r="J9" s="66" t="s">
        <v>333</v>
      </c>
      <c r="K9" s="66" t="s">
        <v>112</v>
      </c>
      <c r="L9" s="67" t="s">
        <v>60</v>
      </c>
      <c r="M9" s="67" t="s">
        <v>61</v>
      </c>
      <c r="N9" s="67" t="s">
        <v>501</v>
      </c>
      <c r="O9" s="84"/>
      <c r="P9" s="68">
        <v>1.0</v>
      </c>
      <c r="Q9" s="70" t="s">
        <v>502</v>
      </c>
      <c r="R9" s="71" t="s">
        <v>503</v>
      </c>
      <c r="S9" s="71" t="s">
        <v>44</v>
      </c>
      <c r="T9" s="68">
        <v>0.0</v>
      </c>
      <c r="U9" s="68">
        <v>1.0</v>
      </c>
      <c r="V9" s="68">
        <v>0.0</v>
      </c>
      <c r="W9" s="109">
        <v>0.0</v>
      </c>
      <c r="X9" s="70" t="s">
        <v>76</v>
      </c>
      <c r="Y9" s="71" t="s">
        <v>481</v>
      </c>
      <c r="Z9" s="71" t="s">
        <v>482</v>
      </c>
      <c r="AA9" s="71" t="s">
        <v>483</v>
      </c>
      <c r="AB9" s="72" t="s">
        <v>464</v>
      </c>
      <c r="AC9" s="63" t="s">
        <v>231</v>
      </c>
      <c r="AD9" s="63" t="s">
        <v>84</v>
      </c>
      <c r="AE9" s="63" t="s">
        <v>169</v>
      </c>
      <c r="AF9" s="63" t="s">
        <v>339</v>
      </c>
      <c r="AG9" s="63" t="s">
        <v>282</v>
      </c>
      <c r="AH9" s="63" t="s">
        <v>252</v>
      </c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sistemas de gestión de la Entidad</v>
      </c>
      <c r="AP9" s="78" t="s">
        <v>154</v>
      </c>
      <c r="AQ9" s="78" t="s">
        <v>155</v>
      </c>
      <c r="AR9" s="79"/>
      <c r="AS9" s="78" t="str">
        <f t="array" ref="AS9:AV9">INDEX(R_ObjEsp__Prod,MATCH(H9,L_ObjEsp,0))</f>
        <v>Servicio de Educación Informal para la Gestión Administrativa</v>
      </c>
      <c r="AT9" s="80" t="s">
        <v>242</v>
      </c>
      <c r="AU9" s="80" t="s">
        <v>243</v>
      </c>
      <c r="AV9" s="80"/>
      <c r="AW9" s="80"/>
      <c r="AX9" s="79"/>
      <c r="AY9" s="78" t="str">
        <f t="array" ref="AY9:BD9">INDEX(R_Pro__Act,MATCH(I9,L_Prod,0))</f>
        <v>Optimizar la gestión administrativa, operativa, de planeación, seguimiento y control de la Entidad, para mejorar el desempeño institucional y la prestación del servicio a nivel nacional</v>
      </c>
      <c r="AZ9" s="80" t="s">
        <v>334</v>
      </c>
      <c r="BA9" s="80" t="s">
        <v>335</v>
      </c>
      <c r="BB9" s="80" t="s">
        <v>336</v>
      </c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147</v>
      </c>
      <c r="D10" s="64" t="s">
        <v>76</v>
      </c>
      <c r="E10" s="64" t="s">
        <v>150</v>
      </c>
      <c r="F10" s="65">
        <f>IF(ISBLANK(E10),"",VLOOKUP(E10,R_Inf_Proy,2,0))</f>
        <v>2018011000241</v>
      </c>
      <c r="G10" s="65" t="str">
        <f>IF(ISBLANK(E10),"",VLOOKUP(E10,R_Inf_Proy,3,0))</f>
        <v>Fortalecimiento</v>
      </c>
      <c r="H10" s="66" t="s">
        <v>153</v>
      </c>
      <c r="I10" s="66" t="s">
        <v>243</v>
      </c>
      <c r="J10" s="66" t="s">
        <v>333</v>
      </c>
      <c r="K10" s="66" t="s">
        <v>112</v>
      </c>
      <c r="L10" s="67" t="s">
        <v>60</v>
      </c>
      <c r="M10" s="67" t="s">
        <v>92</v>
      </c>
      <c r="N10" s="67" t="s">
        <v>504</v>
      </c>
      <c r="O10" s="81"/>
      <c r="P10" s="109">
        <v>11.0</v>
      </c>
      <c r="Q10" s="70" t="s">
        <v>505</v>
      </c>
      <c r="R10" s="71" t="s">
        <v>506</v>
      </c>
      <c r="S10" s="71" t="s">
        <v>179</v>
      </c>
      <c r="T10" s="109">
        <v>3.0</v>
      </c>
      <c r="U10" s="109">
        <v>3.0</v>
      </c>
      <c r="V10" s="109">
        <v>3.0</v>
      </c>
      <c r="W10" s="109">
        <v>2.0</v>
      </c>
      <c r="X10" s="70" t="s">
        <v>76</v>
      </c>
      <c r="Y10" s="71" t="s">
        <v>481</v>
      </c>
      <c r="Z10" s="71" t="s">
        <v>482</v>
      </c>
      <c r="AA10" s="71" t="s">
        <v>483</v>
      </c>
      <c r="AB10" s="72" t="s">
        <v>464</v>
      </c>
      <c r="AC10" s="63" t="s">
        <v>231</v>
      </c>
      <c r="AD10" s="63" t="s">
        <v>84</v>
      </c>
      <c r="AE10" s="63" t="s">
        <v>169</v>
      </c>
      <c r="AF10" s="63" t="s">
        <v>339</v>
      </c>
      <c r="AG10" s="63" t="s">
        <v>282</v>
      </c>
      <c r="AH10" s="63" t="s">
        <v>252</v>
      </c>
      <c r="AI10" s="73"/>
      <c r="AJ10" s="73"/>
      <c r="AK10" s="74"/>
      <c r="AL10" s="75"/>
      <c r="AM10" s="76" t="str">
        <f t="shared" si="1"/>
        <v/>
      </c>
      <c r="AO10" s="77" t="str">
        <f t="array" ref="AO10:AQ10">INDEX(R_Proy__ObjEsp,MATCH(E10,L_Proy,0))</f>
        <v>Fortalecer los sistemas de gestión de la Entidad</v>
      </c>
      <c r="AP10" s="78" t="s">
        <v>154</v>
      </c>
      <c r="AQ10" s="78" t="s">
        <v>155</v>
      </c>
      <c r="AR10" s="79"/>
      <c r="AS10" s="78" t="str">
        <f t="array" ref="AS10:AV10">INDEX(R_ObjEsp__Prod,MATCH(H10,L_ObjEsp,0))</f>
        <v>Servicio de Educación Informal para la Gestión Administrativa</v>
      </c>
      <c r="AT10" s="80" t="s">
        <v>242</v>
      </c>
      <c r="AU10" s="80" t="s">
        <v>243</v>
      </c>
      <c r="AV10" s="80"/>
      <c r="AW10" s="80"/>
      <c r="AX10" s="79"/>
      <c r="AY10" s="78" t="str">
        <f t="array" ref="AY10:BD10">INDEX(R_Pro__Act,MATCH(I10,L_Prod,0))</f>
        <v>Optimizar la gestión administrativa, operativa, de planeación, seguimiento y control de la Entidad, para mejorar el desempeño institucional y la prestación del servicio a nivel nacional</v>
      </c>
      <c r="AZ10" s="80" t="s">
        <v>334</v>
      </c>
      <c r="BA10" s="80" t="s">
        <v>335</v>
      </c>
      <c r="BB10" s="80" t="s">
        <v>336</v>
      </c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 t="s">
        <v>147</v>
      </c>
      <c r="D11" s="64" t="s">
        <v>76</v>
      </c>
      <c r="E11" s="64" t="s">
        <v>150</v>
      </c>
      <c r="F11" s="65">
        <f>IF(ISBLANK(E11),"",VLOOKUP(E11,R_Inf_Proy,2,0))</f>
        <v>2018011000241</v>
      </c>
      <c r="G11" s="65" t="str">
        <f>IF(ISBLANK(E11),"",VLOOKUP(E11,R_Inf_Proy,3,0))</f>
        <v>Fortalecimiento</v>
      </c>
      <c r="H11" s="66" t="s">
        <v>153</v>
      </c>
      <c r="I11" s="66" t="s">
        <v>243</v>
      </c>
      <c r="J11" s="112" t="s">
        <v>333</v>
      </c>
      <c r="K11" s="66" t="s">
        <v>51</v>
      </c>
      <c r="L11" s="67" t="s">
        <v>60</v>
      </c>
      <c r="M11" s="67" t="s">
        <v>92</v>
      </c>
      <c r="N11" s="67" t="s">
        <v>507</v>
      </c>
      <c r="O11" s="81"/>
      <c r="P11" s="69">
        <v>1.0</v>
      </c>
      <c r="Q11" s="70" t="s">
        <v>508</v>
      </c>
      <c r="R11" s="71" t="s">
        <v>509</v>
      </c>
      <c r="S11" s="71" t="s">
        <v>179</v>
      </c>
      <c r="T11" s="69">
        <v>1.0</v>
      </c>
      <c r="U11" s="69">
        <v>1.0</v>
      </c>
      <c r="V11" s="69">
        <v>1.0</v>
      </c>
      <c r="W11" s="69">
        <v>1.0</v>
      </c>
      <c r="X11" s="70" t="s">
        <v>76</v>
      </c>
      <c r="Y11" s="71" t="s">
        <v>481</v>
      </c>
      <c r="Z11" s="71" t="s">
        <v>482</v>
      </c>
      <c r="AA11" s="71" t="s">
        <v>483</v>
      </c>
      <c r="AB11" s="72" t="s">
        <v>464</v>
      </c>
      <c r="AC11" s="63" t="s">
        <v>231</v>
      </c>
      <c r="AD11" s="63" t="s">
        <v>84</v>
      </c>
      <c r="AE11" s="63" t="s">
        <v>169</v>
      </c>
      <c r="AF11" s="63" t="s">
        <v>339</v>
      </c>
      <c r="AG11" s="63" t="s">
        <v>282</v>
      </c>
      <c r="AH11" s="63" t="s">
        <v>252</v>
      </c>
      <c r="AI11" s="73"/>
      <c r="AJ11" s="73"/>
      <c r="AK11" s="74"/>
      <c r="AL11" s="75"/>
      <c r="AM11" s="76" t="str">
        <f t="shared" si="1"/>
        <v/>
      </c>
      <c r="AO11" s="77" t="str">
        <f t="array" ref="AO11:AQ11">INDEX(R_Proy__ObjEsp,MATCH(E11,L_Proy,0))</f>
        <v>Fortalecer los sistemas de gestión de la Entidad</v>
      </c>
      <c r="AP11" s="78" t="s">
        <v>154</v>
      </c>
      <c r="AQ11" s="78" t="s">
        <v>155</v>
      </c>
      <c r="AR11" s="79"/>
      <c r="AS11" s="78" t="str">
        <f t="array" ref="AS11:AV11">INDEX(R_ObjEsp__Prod,MATCH(H11,L_ObjEsp,0))</f>
        <v>Servicio de Educación Informal para la Gestión Administrativa</v>
      </c>
      <c r="AT11" s="80" t="s">
        <v>242</v>
      </c>
      <c r="AU11" s="80" t="s">
        <v>243</v>
      </c>
      <c r="AV11" s="80"/>
      <c r="AW11" s="80"/>
      <c r="AX11" s="79"/>
      <c r="AY11" s="78" t="str">
        <f t="array" ref="AY11:BD11">INDEX(R_Pro__Act,MATCH(I11,L_Prod,0))</f>
        <v>Optimizar la gestión administrativa, operativa, de planeación, seguimiento y control de la Entidad, para mejorar el desempeño institucional y la prestación del servicio a nivel nacional</v>
      </c>
      <c r="AZ11" s="80" t="s">
        <v>334</v>
      </c>
      <c r="BA11" s="80" t="s">
        <v>335</v>
      </c>
      <c r="BB11" s="80" t="s">
        <v>336</v>
      </c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11.0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85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12.0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13.0</v>
      </c>
      <c r="C14" s="85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86"/>
      <c r="I14" s="86"/>
      <c r="J14" s="86"/>
      <c r="K14" s="66"/>
      <c r="L14" s="87"/>
      <c r="M14" s="87"/>
      <c r="N14" s="8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85"/>
      <c r="AD14" s="85"/>
      <c r="AE14" s="85"/>
      <c r="AF14" s="85"/>
      <c r="AG14" s="85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14.0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15.0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16.0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17.0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18.0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19.0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20.0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21.0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22.0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23.0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24.0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25.0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26.0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27.0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28.0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29.0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30.0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31.0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32.0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33.0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34.0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35.0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36.0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37.0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38.0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39.0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40.0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41.0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42.0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43.0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44.0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45.0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46.0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47.0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48.0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49.0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50.0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51.0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52.0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53.0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54.0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55.0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56.0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57.0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58.0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59.0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60.0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61.0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62.0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63.0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64.0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65.0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66.0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67.0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68.0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69.0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70.0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71.0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72.0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73.0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74.0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75.0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76.0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77.0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78.0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79.0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80.0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81.0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82.0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83.0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84.0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85.0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86.0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87.0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88.0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89.0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90.0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91.0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92.0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93.0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94.0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95.0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96.0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97.0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 t="str">
        <f>IF(K98="PRODUCTO",RIGHT(VLOOKUP(I98,R_Ind_Prod,2,0),LEN(VLOOKUP(I98,R_Ind_Prod,2,0))-12),IF(K98="GESTIÓN",RIGHT(VLOOKUP(E98,R_Ind_Gest,12,0),LEN(VLOOKUP(E98,R_Ind_Gest,12,0))-11),""))</f>
        <v/>
      </c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98.0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99.0</v>
      </c>
      <c r="C100" s="63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88">
        <v>100.0</v>
      </c>
      <c r="C101" s="89"/>
      <c r="D101" s="90"/>
      <c r="E101" s="90"/>
      <c r="F101" s="91" t="str">
        <f>IF(ISBLANK(E101),"",VLOOKUP(E101,R_Inf_Proy,2,0))</f>
        <v/>
      </c>
      <c r="G101" s="91" t="str">
        <f>IF(ISBLANK(E101),"",VLOOKUP(E101,R_Inf_Proy,3,0))</f>
        <v/>
      </c>
      <c r="H101" s="92"/>
      <c r="I101" s="92"/>
      <c r="J101" s="92"/>
      <c r="K101" s="93"/>
      <c r="L101" s="94"/>
      <c r="M101" s="94"/>
      <c r="N101" s="94" t="str">
        <f>IF(K101="PRODUCTO",RIGHT(VLOOKUP(I101,R_Ind_Prod,2,0),LEN(VLOOKUP(I101,R_Ind_Prod,2,0))-12),IF(K101="GESTIÓN",RIGHT(VLOOKUP(E101,R_Ind_Gest,12,0),LEN(VLOOKUP(E101,R_Ind_Gest,12,0))-11),""))</f>
        <v/>
      </c>
      <c r="O101" s="95"/>
      <c r="P101" s="96"/>
      <c r="Q101" s="97"/>
      <c r="R101" s="98"/>
      <c r="S101" s="98"/>
      <c r="T101" s="95"/>
      <c r="U101" s="95"/>
      <c r="V101" s="95"/>
      <c r="W101" s="95"/>
      <c r="X101" s="97"/>
      <c r="Y101" s="98"/>
      <c r="Z101" s="98"/>
      <c r="AA101" s="98"/>
      <c r="AB101" s="99"/>
      <c r="AC101" s="89"/>
      <c r="AD101" s="89"/>
      <c r="AE101" s="89"/>
      <c r="AF101" s="89"/>
      <c r="AG101" s="89"/>
      <c r="AH101" s="89"/>
      <c r="AI101" s="99"/>
      <c r="AJ101" s="99"/>
      <c r="AK101" s="100"/>
      <c r="AL101" s="101"/>
      <c r="AM101" s="102"/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15.75" customHeight="1">
      <c r="A102" s="44"/>
      <c r="B102" s="44"/>
      <c r="C102" s="103"/>
      <c r="D102" s="44"/>
      <c r="E102" s="44"/>
      <c r="F102" s="44"/>
      <c r="G102" s="44"/>
      <c r="H102" s="44"/>
      <c r="I102" s="44"/>
      <c r="J102" s="44"/>
      <c r="K102" s="44"/>
      <c r="L102" s="104"/>
      <c r="M102" s="104"/>
      <c r="N102" s="104"/>
      <c r="O102" s="105"/>
      <c r="P102" s="105"/>
      <c r="Q102" s="44"/>
      <c r="R102" s="104"/>
      <c r="S102" s="104"/>
      <c r="T102" s="105"/>
      <c r="U102" s="105"/>
      <c r="V102" s="105"/>
      <c r="W102" s="105"/>
      <c r="X102" s="44"/>
      <c r="Y102" s="104"/>
      <c r="Z102" s="104"/>
      <c r="AA102" s="104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6"/>
      <c r="AM102" s="107"/>
    </row>
  </sheetData>
  <customSheetViews>
    <customSheetView guid="{53D55F53-C764-4421-A3EC-48DE59138C30}" filter="1" showAutoFilter="1">
      <autoFilter ref="$D$2:$BF$101"/>
    </customSheetView>
  </customSheetViews>
  <conditionalFormatting sqref="P3">
    <cfRule type="expression" dxfId="0" priority="1">
      <formula>SUM(T3:W3)&lt;&gt;P3</formula>
    </cfRule>
  </conditionalFormatting>
  <conditionalFormatting sqref="P4:P99 P101">
    <cfRule type="expression" dxfId="0" priority="2">
      <formula>SUM(T4:W4)&lt;&gt;P4</formula>
    </cfRule>
  </conditionalFormatting>
  <conditionalFormatting sqref="P100">
    <cfRule type="expression" dxfId="0" priority="3">
      <formula>SUM(T100:W100)&lt;&gt;P100</formula>
    </cfRule>
  </conditionalFormatting>
  <dataValidations>
    <dataValidation type="list" allowBlank="1" sqref="AF3:AF101">
      <formula1>l_Poli</formula1>
    </dataValidation>
    <dataValidation type="custom" allowBlank="1" showDropDown="1" sqref="AL3:AL101">
      <formula1>OR(NOT(ISERROR(DATEVALUE(AL3))), AND(ISNUMBER(AL3), LEFT(CELL("format", AL3))="D"))</formula1>
    </dataValidation>
    <dataValidation type="list" allowBlank="1" sqref="S3:S101">
      <formula1>L_Ind_Peri</formula1>
    </dataValidation>
    <dataValidation type="list" allowBlank="1" sqref="AG3:AG101">
      <formula1>l_ODS</formula1>
    </dataValidation>
    <dataValidation type="list" allowBlank="1" sqref="D3:D101">
      <formula1>L_Area</formula1>
    </dataValidation>
    <dataValidation type="list" allowBlank="1" showInputMessage="1" showErrorMessage="1" prompt="Seleccionar producto valido para el proyecto" sqref="J3:J101">
      <formula1>AY3:BD3</formula1>
    </dataValidation>
    <dataValidation type="list" allowBlank="1" showInputMessage="1" showErrorMessage="1" prompt="Seleccionar producto valido para el proyecto" sqref="H3:H101">
      <formula1>AO3:AQ3</formula1>
    </dataValidation>
    <dataValidation type="list" allowBlank="1" sqref="L3:L101">
      <formula1>L_Cat</formula1>
    </dataValidation>
    <dataValidation type="list" allowBlank="1" sqref="AC3:AC101">
      <formula1>l_Clas</formula1>
    </dataValidation>
    <dataValidation type="list" allowBlank="1" sqref="AE3:AE101">
      <formula1>l_Dim</formula1>
    </dataValidation>
    <dataValidation type="list" allowBlank="1" sqref="AJ3:AK13 AK14:AK101">
      <formula1>#REF!</formula1>
    </dataValidation>
    <dataValidation type="list" allowBlank="1" sqref="E3:E101">
      <formula1>L_Proy</formula1>
    </dataValidation>
    <dataValidation type="list" allowBlank="1" sqref="K3:K101">
      <formula1>L_Ind_Tipo</formula1>
    </dataValidation>
    <dataValidation type="list" allowBlank="1" sqref="AH3:AH101">
      <formula1>L_Dere</formula1>
    </dataValidation>
    <dataValidation type="list" allowBlank="1" showErrorMessage="1" sqref="C3:C101">
      <formula1>L_Proc</formula1>
    </dataValidation>
    <dataValidation type="list" allowBlank="1" sqref="M3:M101">
      <formula1>L_Uni</formula1>
    </dataValidation>
    <dataValidation type="list" allowBlank="1" sqref="AD3:AD101">
      <formula1>l_ObjIns</formula1>
    </dataValidation>
    <dataValidation type="list" allowBlank="1" showInputMessage="1" showErrorMessage="1" prompt="Seleccionar producto valido para el proyecto" sqref="I3:I101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203</v>
      </c>
      <c r="D3" s="64" t="s">
        <v>107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91</v>
      </c>
      <c r="M3" s="67" t="s">
        <v>92</v>
      </c>
      <c r="N3" s="67" t="s">
        <v>510</v>
      </c>
      <c r="O3" s="68"/>
      <c r="P3" s="69">
        <v>1.0</v>
      </c>
      <c r="Q3" s="70" t="s">
        <v>511</v>
      </c>
      <c r="R3" s="71"/>
      <c r="S3" s="71" t="s">
        <v>137</v>
      </c>
      <c r="T3" s="69">
        <v>1.0</v>
      </c>
      <c r="U3" s="69">
        <v>1.0</v>
      </c>
      <c r="V3" s="69">
        <v>1.0</v>
      </c>
      <c r="W3" s="69">
        <v>1.0</v>
      </c>
      <c r="X3" s="70" t="s">
        <v>107</v>
      </c>
      <c r="Y3" s="71" t="s">
        <v>512</v>
      </c>
      <c r="Z3" s="71" t="s">
        <v>358</v>
      </c>
      <c r="AA3" s="71" t="s">
        <v>513</v>
      </c>
      <c r="AB3" s="72" t="s">
        <v>464</v>
      </c>
      <c r="AC3" s="63" t="s">
        <v>302</v>
      </c>
      <c r="AD3" s="63" t="s">
        <v>84</v>
      </c>
      <c r="AE3" s="63" t="s">
        <v>54</v>
      </c>
      <c r="AF3" s="63" t="s">
        <v>201</v>
      </c>
      <c r="AG3" s="63" t="s">
        <v>322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203</v>
      </c>
      <c r="D4" s="64" t="s">
        <v>107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91</v>
      </c>
      <c r="M4" s="67" t="s">
        <v>92</v>
      </c>
      <c r="N4" s="67" t="s">
        <v>514</v>
      </c>
      <c r="O4" s="81"/>
      <c r="P4" s="69">
        <v>1.0</v>
      </c>
      <c r="Q4" s="70" t="s">
        <v>515</v>
      </c>
      <c r="R4" s="71"/>
      <c r="S4" s="71" t="s">
        <v>137</v>
      </c>
      <c r="T4" s="69">
        <v>1.0</v>
      </c>
      <c r="U4" s="69">
        <v>1.0</v>
      </c>
      <c r="V4" s="69">
        <v>1.0</v>
      </c>
      <c r="W4" s="69">
        <v>1.0</v>
      </c>
      <c r="X4" s="70" t="s">
        <v>107</v>
      </c>
      <c r="Y4" s="71" t="s">
        <v>512</v>
      </c>
      <c r="Z4" s="71" t="s">
        <v>358</v>
      </c>
      <c r="AA4" s="71" t="s">
        <v>513</v>
      </c>
      <c r="AB4" s="72" t="s">
        <v>464</v>
      </c>
      <c r="AC4" s="63" t="s">
        <v>302</v>
      </c>
      <c r="AD4" s="63" t="s">
        <v>84</v>
      </c>
      <c r="AE4" s="63" t="s">
        <v>54</v>
      </c>
      <c r="AF4" s="63" t="s">
        <v>201</v>
      </c>
      <c r="AG4" s="63" t="s">
        <v>322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203</v>
      </c>
      <c r="D5" s="64" t="s">
        <v>107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333</v>
      </c>
      <c r="K5" s="66" t="s">
        <v>112</v>
      </c>
      <c r="L5" s="67" t="s">
        <v>91</v>
      </c>
      <c r="M5" s="67" t="s">
        <v>92</v>
      </c>
      <c r="N5" s="67" t="s">
        <v>516</v>
      </c>
      <c r="O5" s="81"/>
      <c r="P5" s="69">
        <v>1.0</v>
      </c>
      <c r="Q5" s="70" t="s">
        <v>517</v>
      </c>
      <c r="R5" s="71"/>
      <c r="S5" s="71" t="s">
        <v>137</v>
      </c>
      <c r="T5" s="69">
        <v>1.0</v>
      </c>
      <c r="U5" s="69">
        <v>1.0</v>
      </c>
      <c r="V5" s="69">
        <v>1.0</v>
      </c>
      <c r="W5" s="69">
        <v>1.0</v>
      </c>
      <c r="X5" s="70" t="s">
        <v>107</v>
      </c>
      <c r="Y5" s="71" t="s">
        <v>512</v>
      </c>
      <c r="Z5" s="71" t="s">
        <v>358</v>
      </c>
      <c r="AA5" s="71" t="s">
        <v>513</v>
      </c>
      <c r="AB5" s="72" t="s">
        <v>464</v>
      </c>
      <c r="AC5" s="63" t="s">
        <v>302</v>
      </c>
      <c r="AD5" s="63" t="s">
        <v>84</v>
      </c>
      <c r="AE5" s="63" t="s">
        <v>54</v>
      </c>
      <c r="AF5" s="63" t="s">
        <v>201</v>
      </c>
      <c r="AG5" s="63" t="s">
        <v>322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203</v>
      </c>
      <c r="D6" s="64" t="s">
        <v>107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153</v>
      </c>
      <c r="I6" s="66" t="s">
        <v>243</v>
      </c>
      <c r="J6" s="66" t="s">
        <v>333</v>
      </c>
      <c r="K6" s="66" t="s">
        <v>112</v>
      </c>
      <c r="L6" s="67" t="s">
        <v>91</v>
      </c>
      <c r="M6" s="67" t="s">
        <v>92</v>
      </c>
      <c r="N6" s="67" t="s">
        <v>518</v>
      </c>
      <c r="O6" s="81"/>
      <c r="P6" s="69">
        <v>1.0</v>
      </c>
      <c r="Q6" s="70" t="s">
        <v>519</v>
      </c>
      <c r="R6" s="71"/>
      <c r="S6" s="71" t="s">
        <v>137</v>
      </c>
      <c r="T6" s="69">
        <v>1.0</v>
      </c>
      <c r="U6" s="69">
        <v>1.0</v>
      </c>
      <c r="V6" s="69">
        <v>1.0</v>
      </c>
      <c r="W6" s="69">
        <v>1.0</v>
      </c>
      <c r="X6" s="70" t="s">
        <v>107</v>
      </c>
      <c r="Y6" s="71" t="s">
        <v>512</v>
      </c>
      <c r="Z6" s="71" t="s">
        <v>358</v>
      </c>
      <c r="AA6" s="71" t="s">
        <v>513</v>
      </c>
      <c r="AB6" s="72" t="s">
        <v>464</v>
      </c>
      <c r="AC6" s="63" t="s">
        <v>302</v>
      </c>
      <c r="AD6" s="63" t="s">
        <v>84</v>
      </c>
      <c r="AE6" s="63" t="s">
        <v>54</v>
      </c>
      <c r="AF6" s="63" t="s">
        <v>201</v>
      </c>
      <c r="AG6" s="63" t="s">
        <v>322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 de Educación Informal para la Gestión Administrativa</v>
      </c>
      <c r="AT6" s="80" t="s">
        <v>242</v>
      </c>
      <c r="AU6" s="80" t="s">
        <v>243</v>
      </c>
      <c r="AV6" s="80"/>
      <c r="AW6" s="80"/>
      <c r="AX6" s="79"/>
      <c r="AY6" s="78" t="str">
        <f t="array" ref="AY6:BD6">INDEX(R_Pro__Act,MATCH(I6,L_Prod,0))</f>
        <v>Optimizar la gestión administrativa, operativa, de planeación, seguimiento y control de la Entidad, para mejorar el desempeño institucional y la prestación del servicio a nivel nacional</v>
      </c>
      <c r="AZ6" s="80" t="s">
        <v>334</v>
      </c>
      <c r="BA6" s="80" t="s">
        <v>335</v>
      </c>
      <c r="BB6" s="80" t="s">
        <v>336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203</v>
      </c>
      <c r="D7" s="64" t="s">
        <v>107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153</v>
      </c>
      <c r="I7" s="66" t="s">
        <v>243</v>
      </c>
      <c r="J7" s="66" t="s">
        <v>333</v>
      </c>
      <c r="K7" s="66" t="s">
        <v>112</v>
      </c>
      <c r="L7" s="67" t="s">
        <v>91</v>
      </c>
      <c r="M7" s="67" t="s">
        <v>92</v>
      </c>
      <c r="N7" s="67" t="s">
        <v>520</v>
      </c>
      <c r="O7" s="81"/>
      <c r="P7" s="69">
        <v>1.0</v>
      </c>
      <c r="Q7" s="70" t="s">
        <v>521</v>
      </c>
      <c r="R7" s="83"/>
      <c r="S7" s="71" t="s">
        <v>137</v>
      </c>
      <c r="T7" s="69">
        <v>1.0</v>
      </c>
      <c r="U7" s="69">
        <v>1.0</v>
      </c>
      <c r="V7" s="69">
        <v>1.0</v>
      </c>
      <c r="W7" s="69">
        <v>1.0</v>
      </c>
      <c r="X7" s="70" t="s">
        <v>107</v>
      </c>
      <c r="Y7" s="71" t="s">
        <v>512</v>
      </c>
      <c r="Z7" s="71" t="s">
        <v>358</v>
      </c>
      <c r="AA7" s="71" t="s">
        <v>513</v>
      </c>
      <c r="AB7" s="72" t="s">
        <v>464</v>
      </c>
      <c r="AC7" s="63" t="s">
        <v>302</v>
      </c>
      <c r="AD7" s="63" t="s">
        <v>84</v>
      </c>
      <c r="AE7" s="63" t="s">
        <v>54</v>
      </c>
      <c r="AF7" s="63" t="s">
        <v>201</v>
      </c>
      <c r="AG7" s="63" t="s">
        <v>322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 de Educación Informal para la Gestión Administrativa</v>
      </c>
      <c r="AT7" s="80" t="s">
        <v>242</v>
      </c>
      <c r="AU7" s="80" t="s">
        <v>243</v>
      </c>
      <c r="AV7" s="80"/>
      <c r="AW7" s="80"/>
      <c r="AX7" s="79"/>
      <c r="AY7" s="78" t="str">
        <f t="array" ref="AY7:BD7">INDEX(R_Pro__Act,MATCH(I7,L_Prod,0))</f>
        <v>Optimizar la gestión administrativa, operativa, de planeación, seguimiento y control de la Entidad, para mejorar el desempeño institucional y la prestación del servicio a nivel nacional</v>
      </c>
      <c r="AZ7" s="80" t="s">
        <v>334</v>
      </c>
      <c r="BA7" s="80" t="s">
        <v>335</v>
      </c>
      <c r="BB7" s="80" t="s">
        <v>336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203</v>
      </c>
      <c r="D8" s="64" t="s">
        <v>107</v>
      </c>
      <c r="E8" s="64" t="s">
        <v>150</v>
      </c>
      <c r="F8" s="65">
        <f>IF(ISBLANK(E8),"",VLOOKUP(E8,R_Inf_Proy,2,0))</f>
        <v>2018011000241</v>
      </c>
      <c r="G8" s="65" t="str">
        <f>IF(ISBLANK(E8),"",VLOOKUP(E8,R_Inf_Proy,3,0))</f>
        <v>Fortalecimiento</v>
      </c>
      <c r="H8" s="66" t="s">
        <v>153</v>
      </c>
      <c r="I8" s="66" t="s">
        <v>243</v>
      </c>
      <c r="J8" s="66" t="s">
        <v>333</v>
      </c>
      <c r="K8" s="66" t="s">
        <v>112</v>
      </c>
      <c r="L8" s="67" t="s">
        <v>91</v>
      </c>
      <c r="M8" s="67" t="s">
        <v>92</v>
      </c>
      <c r="N8" s="67" t="s">
        <v>522</v>
      </c>
      <c r="O8" s="81"/>
      <c r="P8" s="69">
        <v>1.0</v>
      </c>
      <c r="Q8" s="70" t="s">
        <v>523</v>
      </c>
      <c r="R8" s="83"/>
      <c r="S8" s="71" t="s">
        <v>137</v>
      </c>
      <c r="T8" s="69">
        <v>1.0</v>
      </c>
      <c r="U8" s="69">
        <v>1.0</v>
      </c>
      <c r="V8" s="69">
        <v>1.0</v>
      </c>
      <c r="W8" s="69">
        <v>1.0</v>
      </c>
      <c r="X8" s="70" t="s">
        <v>107</v>
      </c>
      <c r="Y8" s="71" t="s">
        <v>512</v>
      </c>
      <c r="Z8" s="71" t="s">
        <v>358</v>
      </c>
      <c r="AA8" s="71" t="s">
        <v>513</v>
      </c>
      <c r="AB8" s="72" t="s">
        <v>464</v>
      </c>
      <c r="AC8" s="63" t="s">
        <v>302</v>
      </c>
      <c r="AD8" s="63" t="s">
        <v>84</v>
      </c>
      <c r="AE8" s="63" t="s">
        <v>54</v>
      </c>
      <c r="AF8" s="63" t="s">
        <v>201</v>
      </c>
      <c r="AG8" s="63" t="s">
        <v>322</v>
      </c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sistemas de gestión de la Entidad</v>
      </c>
      <c r="AP8" s="78" t="s">
        <v>154</v>
      </c>
      <c r="AQ8" s="78" t="s">
        <v>155</v>
      </c>
      <c r="AR8" s="79"/>
      <c r="AS8" s="78" t="str">
        <f t="array" ref="AS8:AV8">INDEX(R_ObjEsp__Prod,MATCH(H8,L_ObjEsp,0))</f>
        <v>Servicio de Educación Informal para la Gestión Administrativa</v>
      </c>
      <c r="AT8" s="80" t="s">
        <v>242</v>
      </c>
      <c r="AU8" s="80" t="s">
        <v>243</v>
      </c>
      <c r="AV8" s="80"/>
      <c r="AW8" s="80"/>
      <c r="AX8" s="79"/>
      <c r="AY8" s="78" t="str">
        <f t="array" ref="AY8:BD8">INDEX(R_Pro__Act,MATCH(I8,L_Prod,0))</f>
        <v>Optimizar la gestión administrativa, operativa, de planeación, seguimiento y control de la Entidad, para mejorar el desempeño institucional y la prestación del servicio a nivel nacional</v>
      </c>
      <c r="AZ8" s="80" t="s">
        <v>334</v>
      </c>
      <c r="BA8" s="80" t="s">
        <v>335</v>
      </c>
      <c r="BB8" s="80" t="s">
        <v>336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203</v>
      </c>
      <c r="D9" s="64" t="s">
        <v>107</v>
      </c>
      <c r="E9" s="64" t="s">
        <v>150</v>
      </c>
      <c r="F9" s="65">
        <f>IF(ISBLANK(E9),"",VLOOKUP(E9,R_Inf_Proy,2,0))</f>
        <v>2018011000241</v>
      </c>
      <c r="G9" s="65" t="str">
        <f>IF(ISBLANK(E9),"",VLOOKUP(E9,R_Inf_Proy,3,0))</f>
        <v>Fortalecimiento</v>
      </c>
      <c r="H9" s="66" t="s">
        <v>153</v>
      </c>
      <c r="I9" s="66" t="s">
        <v>243</v>
      </c>
      <c r="J9" s="66" t="s">
        <v>333</v>
      </c>
      <c r="K9" s="66" t="s">
        <v>112</v>
      </c>
      <c r="L9" s="67" t="s">
        <v>91</v>
      </c>
      <c r="M9" s="67" t="s">
        <v>92</v>
      </c>
      <c r="N9" s="67" t="s">
        <v>524</v>
      </c>
      <c r="O9" s="84"/>
      <c r="P9" s="69">
        <v>1.0</v>
      </c>
      <c r="Q9" s="70" t="s">
        <v>525</v>
      </c>
      <c r="R9" s="83"/>
      <c r="S9" s="71" t="s">
        <v>137</v>
      </c>
      <c r="T9" s="69">
        <v>1.0</v>
      </c>
      <c r="U9" s="69">
        <v>1.0</v>
      </c>
      <c r="V9" s="69">
        <v>1.0</v>
      </c>
      <c r="W9" s="69">
        <v>1.0</v>
      </c>
      <c r="X9" s="70" t="s">
        <v>107</v>
      </c>
      <c r="Y9" s="71" t="s">
        <v>512</v>
      </c>
      <c r="Z9" s="71" t="s">
        <v>358</v>
      </c>
      <c r="AA9" s="71" t="s">
        <v>513</v>
      </c>
      <c r="AB9" s="72" t="s">
        <v>464</v>
      </c>
      <c r="AC9" s="63" t="s">
        <v>302</v>
      </c>
      <c r="AD9" s="63" t="s">
        <v>84</v>
      </c>
      <c r="AE9" s="63" t="s">
        <v>54</v>
      </c>
      <c r="AF9" s="63" t="s">
        <v>201</v>
      </c>
      <c r="AG9" s="63" t="s">
        <v>322</v>
      </c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sistemas de gestión de la Entidad</v>
      </c>
      <c r="AP9" s="78" t="s">
        <v>154</v>
      </c>
      <c r="AQ9" s="78" t="s">
        <v>155</v>
      </c>
      <c r="AR9" s="79"/>
      <c r="AS9" s="78" t="str">
        <f t="array" ref="AS9:AV9">INDEX(R_ObjEsp__Prod,MATCH(H9,L_ObjEsp,0))</f>
        <v>Servicio de Educación Informal para la Gestión Administrativa</v>
      </c>
      <c r="AT9" s="80" t="s">
        <v>242</v>
      </c>
      <c r="AU9" s="80" t="s">
        <v>243</v>
      </c>
      <c r="AV9" s="80"/>
      <c r="AW9" s="80"/>
      <c r="AX9" s="79"/>
      <c r="AY9" s="78" t="str">
        <f t="array" ref="AY9:BD9">INDEX(R_Pro__Act,MATCH(I9,L_Prod,0))</f>
        <v>Optimizar la gestión administrativa, operativa, de planeación, seguimiento y control de la Entidad, para mejorar el desempeño institucional y la prestación del servicio a nivel nacional</v>
      </c>
      <c r="AZ9" s="80" t="s">
        <v>334</v>
      </c>
      <c r="BA9" s="80" t="s">
        <v>335</v>
      </c>
      <c r="BB9" s="80" t="s">
        <v>336</v>
      </c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234</v>
      </c>
      <c r="D3" s="64" t="s">
        <v>55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334</v>
      </c>
      <c r="K3" s="66" t="s">
        <v>112</v>
      </c>
      <c r="L3" s="67" t="s">
        <v>91</v>
      </c>
      <c r="M3" s="67" t="s">
        <v>92</v>
      </c>
      <c r="N3" s="67" t="s">
        <v>526</v>
      </c>
      <c r="O3" s="68"/>
      <c r="P3" s="69">
        <v>1.0</v>
      </c>
      <c r="Q3" s="70" t="s">
        <v>527</v>
      </c>
      <c r="R3" s="71"/>
      <c r="S3" s="71" t="s">
        <v>75</v>
      </c>
      <c r="T3" s="69">
        <v>0.0</v>
      </c>
      <c r="U3" s="69">
        <v>0.4</v>
      </c>
      <c r="V3" s="69">
        <v>0.0</v>
      </c>
      <c r="W3" s="69">
        <v>0.6</v>
      </c>
      <c r="X3" s="70" t="s">
        <v>528</v>
      </c>
      <c r="Y3" s="71" t="s">
        <v>529</v>
      </c>
      <c r="Z3" s="71" t="s">
        <v>530</v>
      </c>
      <c r="AA3" s="71" t="s">
        <v>531</v>
      </c>
      <c r="AB3" s="72" t="s">
        <v>532</v>
      </c>
      <c r="AC3" s="63" t="s">
        <v>231</v>
      </c>
      <c r="AD3" s="63" t="s">
        <v>84</v>
      </c>
      <c r="AE3" s="63" t="s">
        <v>55</v>
      </c>
      <c r="AF3" s="63" t="s">
        <v>55</v>
      </c>
      <c r="AG3" s="63" t="s">
        <v>322</v>
      </c>
      <c r="AH3" s="63" t="s">
        <v>252</v>
      </c>
      <c r="AI3" s="72" t="s">
        <v>533</v>
      </c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/>
      <c r="D4" s="64"/>
      <c r="E4" s="64"/>
      <c r="F4" s="65" t="str">
        <f>IF(ISBLANK(E4),"",VLOOKUP(E4,R_Inf_Proy,2,0))</f>
        <v/>
      </c>
      <c r="G4" s="65" t="str">
        <f>IF(ISBLANK(E4),"",VLOOKUP(E4,R_Inf_Proy,3,0))</f>
        <v/>
      </c>
      <c r="H4" s="66"/>
      <c r="I4" s="66"/>
      <c r="J4" s="66"/>
      <c r="K4" s="66"/>
      <c r="L4" s="67"/>
      <c r="M4" s="67"/>
      <c r="N4" s="67"/>
      <c r="O4" s="81"/>
      <c r="P4" s="69"/>
      <c r="Q4" s="70"/>
      <c r="R4" s="71"/>
      <c r="S4" s="71"/>
      <c r="T4" s="69"/>
      <c r="U4" s="69"/>
      <c r="V4" s="69"/>
      <c r="W4" s="69"/>
      <c r="X4" s="70"/>
      <c r="Y4" s="71"/>
      <c r="Z4" s="71"/>
      <c r="AA4" s="71"/>
      <c r="AB4" s="72"/>
      <c r="AC4" s="63"/>
      <c r="AD4" s="63"/>
      <c r="AE4" s="63"/>
      <c r="AF4" s="63"/>
      <c r="AG4" s="63"/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">INDEX(R_Proy__ObjEsp,MATCH(E4,L_Proy,0))</f>
        <v>#N/A</v>
      </c>
      <c r="AP4" s="78"/>
      <c r="AQ4" s="78"/>
      <c r="AR4" s="79"/>
      <c r="AS4" s="78" t="str">
        <f t="array" ref="AS4">INDEX(R_ObjEsp__Prod,MATCH(H4,L_ObjEsp,0))</f>
        <v>#N/A</v>
      </c>
      <c r="AT4" s="80"/>
      <c r="AU4" s="80"/>
      <c r="AV4" s="80"/>
      <c r="AW4" s="80"/>
      <c r="AX4" s="79"/>
      <c r="AY4" s="78" t="str">
        <f t="array" ref="AY4">INDEX(R_Pro__Act,MATCH(I4,L_Prod,0))</f>
        <v>#N/A</v>
      </c>
      <c r="AZ4" s="80"/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/>
      <c r="D5" s="64"/>
      <c r="E5" s="64"/>
      <c r="F5" s="65" t="str">
        <f>IF(ISBLANK(E5),"",VLOOKUP(E5,R_Inf_Proy,2,0))</f>
        <v/>
      </c>
      <c r="G5" s="65" t="str">
        <f>IF(ISBLANK(E5),"",VLOOKUP(E5,R_Inf_Proy,3,0))</f>
        <v/>
      </c>
      <c r="H5" s="66"/>
      <c r="I5" s="66"/>
      <c r="J5" s="66"/>
      <c r="K5" s="66"/>
      <c r="L5" s="67"/>
      <c r="M5" s="67"/>
      <c r="N5" s="67"/>
      <c r="O5" s="81"/>
      <c r="P5" s="69"/>
      <c r="Q5" s="70"/>
      <c r="R5" s="71"/>
      <c r="S5" s="71"/>
      <c r="T5" s="69"/>
      <c r="U5" s="69"/>
      <c r="V5" s="69"/>
      <c r="W5" s="69"/>
      <c r="X5" s="70"/>
      <c r="Y5" s="71"/>
      <c r="Z5" s="71"/>
      <c r="AA5" s="71"/>
      <c r="AB5" s="72"/>
      <c r="AC5" s="63"/>
      <c r="AD5" s="63"/>
      <c r="AE5" s="63"/>
      <c r="AF5" s="63"/>
      <c r="AG5" s="63"/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">INDEX(R_Proy__ObjEsp,MATCH(E5,L_Proy,0))</f>
        <v>#N/A</v>
      </c>
      <c r="AP5" s="78"/>
      <c r="AQ5" s="78"/>
      <c r="AR5" s="79"/>
      <c r="AS5" s="78" t="str">
        <f t="array" ref="AS5">INDEX(R_ObjEsp__Prod,MATCH(H5,L_ObjEsp,0))</f>
        <v>#N/A</v>
      </c>
      <c r="AT5" s="80"/>
      <c r="AU5" s="80"/>
      <c r="AV5" s="80"/>
      <c r="AW5" s="80"/>
      <c r="AX5" s="79"/>
      <c r="AY5" s="78" t="str">
        <f t="array" ref="AY5">INDEX(R_Pro__Act,MATCH(I5,L_Prod,0))</f>
        <v>#N/A</v>
      </c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/>
      <c r="D6" s="64"/>
      <c r="E6" s="64"/>
      <c r="F6" s="65" t="str">
        <f>IF(ISBLANK(E6),"",VLOOKUP(E6,R_Inf_Proy,2,0))</f>
        <v/>
      </c>
      <c r="G6" s="65" t="str">
        <f>IF(ISBLANK(E6),"",VLOOKUP(E6,R_Inf_Proy,3,0))</f>
        <v/>
      </c>
      <c r="H6" s="66"/>
      <c r="I6" s="66"/>
      <c r="J6" s="66"/>
      <c r="K6" s="66"/>
      <c r="L6" s="67"/>
      <c r="M6" s="67"/>
      <c r="N6" s="67"/>
      <c r="O6" s="81"/>
      <c r="P6" s="69"/>
      <c r="Q6" s="70"/>
      <c r="R6" s="71"/>
      <c r="S6" s="71"/>
      <c r="T6" s="69"/>
      <c r="U6" s="69"/>
      <c r="V6" s="69"/>
      <c r="W6" s="69"/>
      <c r="X6" s="70"/>
      <c r="Y6" s="71"/>
      <c r="Z6" s="71"/>
      <c r="AA6" s="71"/>
      <c r="AB6" s="72"/>
      <c r="AC6" s="63"/>
      <c r="AD6" s="63"/>
      <c r="AE6" s="63"/>
      <c r="AF6" s="63"/>
      <c r="AG6" s="63"/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">INDEX(R_Proy__ObjEsp,MATCH(E6,L_Proy,0))</f>
        <v>#N/A</v>
      </c>
      <c r="AP6" s="78"/>
      <c r="AQ6" s="78"/>
      <c r="AR6" s="79"/>
      <c r="AS6" s="78" t="str">
        <f t="array" ref="AS6">INDEX(R_ObjEsp__Prod,MATCH(H6,L_ObjEsp,0))</f>
        <v>#N/A</v>
      </c>
      <c r="AT6" s="80"/>
      <c r="AU6" s="80"/>
      <c r="AV6" s="80"/>
      <c r="AW6" s="80"/>
      <c r="AX6" s="79"/>
      <c r="AY6" s="78" t="str">
        <f t="array" ref="AY6">INDEX(R_Pro__Act,MATCH(I6,L_Prod,0))</f>
        <v>#N/A</v>
      </c>
      <c r="AZ6" s="80"/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/>
      <c r="D7" s="64"/>
      <c r="E7" s="64"/>
      <c r="F7" s="65" t="str">
        <f>IF(ISBLANK(E7),"",VLOOKUP(E7,R_Inf_Proy,2,0))</f>
        <v/>
      </c>
      <c r="G7" s="65" t="str">
        <f>IF(ISBLANK(E7),"",VLOOKUP(E7,R_Inf_Proy,3,0))</f>
        <v/>
      </c>
      <c r="H7" s="66"/>
      <c r="I7" s="66"/>
      <c r="J7" s="66"/>
      <c r="K7" s="66"/>
      <c r="L7" s="67"/>
      <c r="M7" s="67"/>
      <c r="N7" s="67"/>
      <c r="O7" s="81"/>
      <c r="P7" s="69"/>
      <c r="Q7" s="70"/>
      <c r="R7" s="83"/>
      <c r="S7" s="71"/>
      <c r="T7" s="69"/>
      <c r="U7" s="69"/>
      <c r="V7" s="69"/>
      <c r="W7" s="69"/>
      <c r="X7" s="70"/>
      <c r="Y7" s="71"/>
      <c r="Z7" s="71"/>
      <c r="AA7" s="71"/>
      <c r="AB7" s="72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">INDEX(R_Proy__ObjEsp,MATCH(E7,L_Proy,0))</f>
        <v>#N/A</v>
      </c>
      <c r="AP7" s="78"/>
      <c r="AQ7" s="78"/>
      <c r="AR7" s="79"/>
      <c r="AS7" s="78" t="str">
        <f t="array" ref="AS7">INDEX(R_ObjEsp__Prod,MATCH(H7,L_ObjEsp,0))</f>
        <v>#N/A</v>
      </c>
      <c r="AT7" s="80"/>
      <c r="AU7" s="80"/>
      <c r="AV7" s="80"/>
      <c r="AW7" s="80"/>
      <c r="AX7" s="79"/>
      <c r="AY7" s="78" t="str">
        <f t="array" ref="AY7">INDEX(R_Pro__Act,MATCH(I7,L_Prod,0))</f>
        <v>#N/A</v>
      </c>
      <c r="AZ7" s="80"/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293</v>
      </c>
      <c r="D3" s="64" t="s">
        <v>162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60</v>
      </c>
      <c r="M3" s="67" t="s">
        <v>61</v>
      </c>
      <c r="N3" s="67" t="s">
        <v>534</v>
      </c>
      <c r="O3" s="68"/>
      <c r="P3" s="109">
        <v>1.0</v>
      </c>
      <c r="Q3" s="70" t="s">
        <v>535</v>
      </c>
      <c r="R3" s="71" t="s">
        <v>536</v>
      </c>
      <c r="S3" s="71" t="s">
        <v>44</v>
      </c>
      <c r="T3" s="109">
        <v>0.0</v>
      </c>
      <c r="U3" s="109">
        <v>0.0</v>
      </c>
      <c r="V3" s="109">
        <v>0.0</v>
      </c>
      <c r="W3" s="109">
        <v>1.0</v>
      </c>
      <c r="X3" s="70" t="s">
        <v>537</v>
      </c>
      <c r="Y3" s="71" t="s">
        <v>538</v>
      </c>
      <c r="Z3" s="71" t="s">
        <v>539</v>
      </c>
      <c r="AA3" s="71" t="s">
        <v>540</v>
      </c>
      <c r="AB3" s="72" t="s">
        <v>464</v>
      </c>
      <c r="AC3" s="63" t="s">
        <v>302</v>
      </c>
      <c r="AD3" s="63" t="s">
        <v>84</v>
      </c>
      <c r="AE3" s="63" t="s">
        <v>54</v>
      </c>
      <c r="AF3" s="63" t="s">
        <v>201</v>
      </c>
      <c r="AG3" s="63" t="s">
        <v>322</v>
      </c>
      <c r="AH3" s="63" t="s">
        <v>252</v>
      </c>
      <c r="AI3" s="72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293</v>
      </c>
      <c r="D4" s="64" t="s">
        <v>162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60</v>
      </c>
      <c r="M4" s="67" t="s">
        <v>92</v>
      </c>
      <c r="N4" s="67" t="s">
        <v>541</v>
      </c>
      <c r="O4" s="81"/>
      <c r="P4" s="69">
        <v>1.0</v>
      </c>
      <c r="Q4" s="70" t="s">
        <v>542</v>
      </c>
      <c r="R4" s="71" t="s">
        <v>543</v>
      </c>
      <c r="S4" s="71" t="s">
        <v>137</v>
      </c>
      <c r="T4" s="69">
        <v>0.25</v>
      </c>
      <c r="U4" s="69">
        <v>0.25</v>
      </c>
      <c r="V4" s="69">
        <v>0.25</v>
      </c>
      <c r="W4" s="69">
        <v>0.25</v>
      </c>
      <c r="X4" s="70" t="s">
        <v>537</v>
      </c>
      <c r="Y4" s="71" t="s">
        <v>538</v>
      </c>
      <c r="Z4" s="71" t="s">
        <v>539</v>
      </c>
      <c r="AA4" s="71" t="s">
        <v>540</v>
      </c>
      <c r="AB4" s="72" t="s">
        <v>464</v>
      </c>
      <c r="AC4" s="63" t="s">
        <v>302</v>
      </c>
      <c r="AD4" s="63" t="s">
        <v>84</v>
      </c>
      <c r="AE4" s="63" t="s">
        <v>54</v>
      </c>
      <c r="AF4" s="63" t="s">
        <v>201</v>
      </c>
      <c r="AG4" s="63" t="s">
        <v>322</v>
      </c>
      <c r="AH4" s="63" t="s">
        <v>191</v>
      </c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293</v>
      </c>
      <c r="D5" s="64" t="s">
        <v>162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333</v>
      </c>
      <c r="K5" s="66" t="s">
        <v>112</v>
      </c>
      <c r="L5" s="67" t="s">
        <v>60</v>
      </c>
      <c r="M5" s="67" t="s">
        <v>61</v>
      </c>
      <c r="N5" s="67" t="s">
        <v>544</v>
      </c>
      <c r="O5" s="81"/>
      <c r="P5" s="109">
        <v>11.0</v>
      </c>
      <c r="Q5" s="70" t="s">
        <v>545</v>
      </c>
      <c r="R5" s="71" t="s">
        <v>546</v>
      </c>
      <c r="S5" s="71" t="s">
        <v>137</v>
      </c>
      <c r="T5" s="109">
        <v>2.0</v>
      </c>
      <c r="U5" s="109">
        <v>3.0</v>
      </c>
      <c r="V5" s="109">
        <v>3.0</v>
      </c>
      <c r="W5" s="109">
        <v>3.0</v>
      </c>
      <c r="X5" s="70" t="s">
        <v>537</v>
      </c>
      <c r="Y5" s="71" t="s">
        <v>538</v>
      </c>
      <c r="Z5" s="71" t="s">
        <v>539</v>
      </c>
      <c r="AA5" s="71" t="s">
        <v>540</v>
      </c>
      <c r="AB5" s="72" t="s">
        <v>464</v>
      </c>
      <c r="AC5" s="63" t="s">
        <v>302</v>
      </c>
      <c r="AD5" s="63" t="s">
        <v>84</v>
      </c>
      <c r="AE5" s="63" t="s">
        <v>54</v>
      </c>
      <c r="AF5" s="63" t="s">
        <v>201</v>
      </c>
      <c r="AG5" s="63" t="s">
        <v>322</v>
      </c>
      <c r="AH5" s="63" t="s">
        <v>252</v>
      </c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/>
      <c r="D6" s="64"/>
      <c r="E6" s="64"/>
      <c r="F6" s="65" t="str">
        <f>IF(ISBLANK(E6),"",VLOOKUP(E6,R_Inf_Proy,2,0))</f>
        <v/>
      </c>
      <c r="G6" s="65" t="str">
        <f>IF(ISBLANK(E6),"",VLOOKUP(E6,R_Inf_Proy,3,0))</f>
        <v/>
      </c>
      <c r="H6" s="66"/>
      <c r="I6" s="66"/>
      <c r="J6" s="66"/>
      <c r="K6" s="66"/>
      <c r="L6" s="67"/>
      <c r="M6" s="67"/>
      <c r="N6" s="67"/>
      <c r="O6" s="81"/>
      <c r="P6" s="69"/>
      <c r="Q6" s="70"/>
      <c r="R6" s="71"/>
      <c r="S6" s="71"/>
      <c r="T6" s="69"/>
      <c r="U6" s="69"/>
      <c r="V6" s="69"/>
      <c r="W6" s="69"/>
      <c r="X6" s="70"/>
      <c r="Y6" s="71"/>
      <c r="Z6" s="71"/>
      <c r="AA6" s="71"/>
      <c r="AB6" s="72"/>
      <c r="AC6" s="63"/>
      <c r="AD6" s="63"/>
      <c r="AE6" s="63"/>
      <c r="AF6" s="63"/>
      <c r="AG6" s="63"/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">INDEX(R_Proy__ObjEsp,MATCH(E6,L_Proy,0))</f>
        <v>#N/A</v>
      </c>
      <c r="AP6" s="78"/>
      <c r="AQ6" s="78"/>
      <c r="AR6" s="79"/>
      <c r="AS6" s="78" t="str">
        <f t="array" ref="AS6">INDEX(R_ObjEsp__Prod,MATCH(H6,L_ObjEsp,0))</f>
        <v>#N/A</v>
      </c>
      <c r="AT6" s="80"/>
      <c r="AU6" s="80"/>
      <c r="AV6" s="80"/>
      <c r="AW6" s="80"/>
      <c r="AX6" s="79"/>
      <c r="AY6" s="78" t="str">
        <f t="array" ref="AY6">INDEX(R_Pro__Act,MATCH(I6,L_Prod,0))</f>
        <v>#N/A</v>
      </c>
      <c r="AZ6" s="80"/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/>
      <c r="D7" s="64"/>
      <c r="E7" s="64"/>
      <c r="F7" s="65" t="str">
        <f>IF(ISBLANK(E7),"",VLOOKUP(E7,R_Inf_Proy,2,0))</f>
        <v/>
      </c>
      <c r="G7" s="65" t="str">
        <f>IF(ISBLANK(E7),"",VLOOKUP(E7,R_Inf_Proy,3,0))</f>
        <v/>
      </c>
      <c r="H7" s="66"/>
      <c r="I7" s="66"/>
      <c r="J7" s="66"/>
      <c r="K7" s="66"/>
      <c r="L7" s="67"/>
      <c r="M7" s="67"/>
      <c r="N7" s="67"/>
      <c r="O7" s="81"/>
      <c r="P7" s="69"/>
      <c r="Q7" s="70"/>
      <c r="R7" s="83"/>
      <c r="S7" s="71"/>
      <c r="T7" s="69"/>
      <c r="U7" s="69"/>
      <c r="V7" s="69"/>
      <c r="W7" s="69"/>
      <c r="X7" s="70"/>
      <c r="Y7" s="71"/>
      <c r="Z7" s="71"/>
      <c r="AA7" s="71"/>
      <c r="AB7" s="72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">INDEX(R_Proy__ObjEsp,MATCH(E7,L_Proy,0))</f>
        <v>#N/A</v>
      </c>
      <c r="AP7" s="78"/>
      <c r="AQ7" s="78"/>
      <c r="AR7" s="79"/>
      <c r="AS7" s="78" t="str">
        <f t="array" ref="AS7">INDEX(R_ObjEsp__Prod,MATCH(H7,L_ObjEsp,0))</f>
        <v>#N/A</v>
      </c>
      <c r="AT7" s="80"/>
      <c r="AU7" s="80"/>
      <c r="AV7" s="80"/>
      <c r="AW7" s="80"/>
      <c r="AX7" s="79"/>
      <c r="AY7" s="78" t="str">
        <f t="array" ref="AY7">INDEX(R_Pro__Act,MATCH(I7,L_Prod,0))</f>
        <v>#N/A</v>
      </c>
      <c r="AZ7" s="80"/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40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90</v>
      </c>
      <c r="D3" s="64" t="s">
        <v>195</v>
      </c>
      <c r="E3" s="64" t="s">
        <v>64</v>
      </c>
      <c r="F3" s="65">
        <f>IF(ISBLANK(E3),"",VLOOKUP(E3,R_Inf_Proy,2,0))</f>
        <v>2019011000280</v>
      </c>
      <c r="G3" s="65" t="str">
        <f>IF(ISBLANK(E3),"",VLOOKUP(E3,R_Inf_Proy,3,0))</f>
        <v>Sostenibilidad</v>
      </c>
      <c r="H3" s="66" t="s">
        <v>67</v>
      </c>
      <c r="I3" s="66" t="s">
        <v>103</v>
      </c>
      <c r="J3" s="66" t="s">
        <v>130</v>
      </c>
      <c r="K3" s="66" t="s">
        <v>82</v>
      </c>
      <c r="L3" s="67" t="s">
        <v>60</v>
      </c>
      <c r="M3" s="67" t="s">
        <v>61</v>
      </c>
      <c r="N3" s="67" t="s">
        <v>547</v>
      </c>
      <c r="O3" s="68"/>
      <c r="P3" s="68">
        <v>14000.0</v>
      </c>
      <c r="Q3" s="70" t="s">
        <v>548</v>
      </c>
      <c r="R3" s="113" t="s">
        <v>549</v>
      </c>
      <c r="S3" s="71" t="s">
        <v>75</v>
      </c>
      <c r="T3" s="109">
        <v>0.0</v>
      </c>
      <c r="U3" s="68">
        <v>7000.0</v>
      </c>
      <c r="V3" s="109">
        <v>0.0</v>
      </c>
      <c r="W3" s="68">
        <v>7000.0</v>
      </c>
      <c r="X3" s="109" t="s">
        <v>419</v>
      </c>
      <c r="Y3" s="71" t="s">
        <v>550</v>
      </c>
      <c r="Z3" s="71" t="s">
        <v>551</v>
      </c>
      <c r="AA3" s="71" t="s">
        <v>552</v>
      </c>
      <c r="AB3" s="72" t="s">
        <v>553</v>
      </c>
      <c r="AC3" s="63" t="s">
        <v>302</v>
      </c>
      <c r="AD3" s="63" t="s">
        <v>114</v>
      </c>
      <c r="AE3" s="63" t="s">
        <v>115</v>
      </c>
      <c r="AF3" s="63" t="s">
        <v>116</v>
      </c>
      <c r="AG3" s="63" t="s">
        <v>282</v>
      </c>
      <c r="AH3" s="63" t="s">
        <v>62</v>
      </c>
      <c r="AI3" s="73"/>
      <c r="AJ3" s="73"/>
      <c r="AK3" s="74"/>
      <c r="AL3" s="75"/>
      <c r="AM3" s="76" t="str">
        <f t="shared" ref="AM3:AM13" si="1">IF(K3="PRODUCTO",VLOOKUP(I3,#REF!,6,0),IF(K3="GESTIÓN",VLOOKUP(E3,#REF!,14,0),""))</f>
        <v/>
      </c>
      <c r="AO3" s="77" t="str">
        <f t="array" ref="AO3:AQ3">INDEX(R_Proy__ObjEsp,MATCH(E3,L_Proy,0))</f>
        <v>Mejorar la explotación de los recursos pesqueros y de la acuicultura.</v>
      </c>
      <c r="AP3" s="78" t="s">
        <v>68</v>
      </c>
      <c r="AQ3" s="78"/>
      <c r="AR3" s="79"/>
      <c r="AS3" s="78" t="str">
        <f t="array" ref="AS3:AV3">INDEX(R_ObjEsp__Prod,MATCH(H3,L_ObjEsp,0))</f>
        <v>Servicio de ordenación pesquera y de la acuicultura</v>
      </c>
      <c r="AT3" s="80" t="s">
        <v>103</v>
      </c>
      <c r="AU3" s="80"/>
      <c r="AV3" s="80"/>
      <c r="AW3" s="80"/>
      <c r="AX3" s="79"/>
      <c r="AY3" s="78" t="str">
        <f t="array" ref="AY3:BD3">INDEX(R_Pro__Act,MATCH(I3,L_Prod,0))</f>
        <v>Regular el manejo y el ejercicio de la actividad pesquera y de la acuicultura.</v>
      </c>
      <c r="AZ3" s="80" t="s">
        <v>131</v>
      </c>
      <c r="BA3" s="80"/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90</v>
      </c>
      <c r="D4" s="64" t="s">
        <v>195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100</v>
      </c>
      <c r="J4" s="66" t="s">
        <v>102</v>
      </c>
      <c r="K4" s="66" t="s">
        <v>82</v>
      </c>
      <c r="L4" s="67" t="s">
        <v>60</v>
      </c>
      <c r="M4" s="67" t="s">
        <v>61</v>
      </c>
      <c r="N4" s="67" t="s">
        <v>554</v>
      </c>
      <c r="O4" s="68">
        <v>-3.0</v>
      </c>
      <c r="P4" s="109">
        <v>5.0</v>
      </c>
      <c r="Q4" s="70" t="s">
        <v>102</v>
      </c>
      <c r="R4" s="113" t="s">
        <v>555</v>
      </c>
      <c r="S4" s="71" t="s">
        <v>75</v>
      </c>
      <c r="T4" s="109">
        <v>0.0</v>
      </c>
      <c r="U4" s="109">
        <v>2.0</v>
      </c>
      <c r="V4" s="109">
        <v>0.0</v>
      </c>
      <c r="W4" s="109">
        <v>3.0</v>
      </c>
      <c r="X4" s="109" t="s">
        <v>419</v>
      </c>
      <c r="Y4" s="71" t="s">
        <v>550</v>
      </c>
      <c r="Z4" s="71" t="s">
        <v>551</v>
      </c>
      <c r="AA4" s="71" t="s">
        <v>552</v>
      </c>
      <c r="AB4" s="72" t="s">
        <v>553</v>
      </c>
      <c r="AC4" s="63" t="s">
        <v>302</v>
      </c>
      <c r="AD4" s="63" t="s">
        <v>114</v>
      </c>
      <c r="AE4" s="63" t="s">
        <v>115</v>
      </c>
      <c r="AF4" s="63" t="s">
        <v>116</v>
      </c>
      <c r="AG4" s="63" t="s">
        <v>282</v>
      </c>
      <c r="AH4" s="63" t="s">
        <v>62</v>
      </c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Realizar seguimiento a los acuerdos de ordenación</v>
      </c>
      <c r="AZ4" s="80" t="s">
        <v>102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90</v>
      </c>
      <c r="D5" s="64" t="s">
        <v>195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68</v>
      </c>
      <c r="I5" s="66" t="s">
        <v>135</v>
      </c>
      <c r="J5" s="66" t="s">
        <v>206</v>
      </c>
      <c r="K5" s="66" t="s">
        <v>82</v>
      </c>
      <c r="L5" s="67" t="s">
        <v>60</v>
      </c>
      <c r="M5" s="67" t="s">
        <v>61</v>
      </c>
      <c r="N5" s="67" t="s">
        <v>556</v>
      </c>
      <c r="O5" s="68">
        <v>-61.0</v>
      </c>
      <c r="P5" s="109">
        <v>460.0</v>
      </c>
      <c r="Q5" s="70" t="s">
        <v>557</v>
      </c>
      <c r="R5" s="113" t="s">
        <v>558</v>
      </c>
      <c r="S5" s="71" t="s">
        <v>44</v>
      </c>
      <c r="T5" s="109">
        <v>0.0</v>
      </c>
      <c r="U5" s="109">
        <v>0.0</v>
      </c>
      <c r="V5" s="109">
        <v>0.0</v>
      </c>
      <c r="W5" s="109">
        <v>460.0</v>
      </c>
      <c r="X5" s="109" t="s">
        <v>419</v>
      </c>
      <c r="Y5" s="71" t="s">
        <v>550</v>
      </c>
      <c r="Z5" s="71" t="s">
        <v>551</v>
      </c>
      <c r="AA5" s="71" t="s">
        <v>552</v>
      </c>
      <c r="AB5" s="72" t="s">
        <v>553</v>
      </c>
      <c r="AC5" s="63" t="s">
        <v>302</v>
      </c>
      <c r="AD5" s="63" t="s">
        <v>114</v>
      </c>
      <c r="AE5" s="63" t="s">
        <v>115</v>
      </c>
      <c r="AF5" s="63" t="s">
        <v>116</v>
      </c>
      <c r="AG5" s="63" t="s">
        <v>282</v>
      </c>
      <c r="AH5" s="63" t="s">
        <v>62</v>
      </c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Mejorar la explotación de los recursos pesqueros y de la acuicultura.</v>
      </c>
      <c r="AP5" s="78" t="s">
        <v>68</v>
      </c>
      <c r="AQ5" s="78"/>
      <c r="AR5" s="79"/>
      <c r="AS5" s="78" t="str">
        <f t="array" ref="AS5:AV5">INDEX(R_ObjEsp__Prod,MATCH(H5,L_ObjEsp,0))</f>
        <v>1-Servicios de apoyo a las estaciones de acuicultura</v>
      </c>
      <c r="AT5" s="80" t="s">
        <v>133</v>
      </c>
      <c r="AU5" s="80" t="s">
        <v>134</v>
      </c>
      <c r="AV5" s="80" t="s">
        <v>135</v>
      </c>
      <c r="AW5" s="80"/>
      <c r="AX5" s="79"/>
      <c r="AY5" s="78" t="str">
        <f t="array" ref="AY5:BD5">INDEX(R_Pro__Act,MATCH(I5,L_Prod,0))</f>
        <v>Generar acciones de fomento para la pesca, la acuicultura y sus actividades conexas.</v>
      </c>
      <c r="AZ5" s="80" t="s">
        <v>207</v>
      </c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195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68</v>
      </c>
      <c r="I6" s="66" t="s">
        <v>132</v>
      </c>
      <c r="J6" s="66" t="s">
        <v>157</v>
      </c>
      <c r="K6" s="66" t="s">
        <v>82</v>
      </c>
      <c r="L6" s="67" t="s">
        <v>60</v>
      </c>
      <c r="M6" s="67" t="s">
        <v>61</v>
      </c>
      <c r="N6" s="67" t="s">
        <v>559</v>
      </c>
      <c r="O6" s="68">
        <v>-1.0</v>
      </c>
      <c r="P6" s="109">
        <v>3.0</v>
      </c>
      <c r="Q6" s="70" t="s">
        <v>560</v>
      </c>
      <c r="R6" s="113" t="s">
        <v>561</v>
      </c>
      <c r="S6" s="71" t="s">
        <v>44</v>
      </c>
      <c r="T6" s="109">
        <v>0.0</v>
      </c>
      <c r="U6" s="109">
        <v>0.0</v>
      </c>
      <c r="V6" s="109">
        <v>0.0</v>
      </c>
      <c r="W6" s="109">
        <v>3.0</v>
      </c>
      <c r="X6" s="109" t="s">
        <v>419</v>
      </c>
      <c r="Y6" s="71" t="s">
        <v>550</v>
      </c>
      <c r="Z6" s="71" t="s">
        <v>551</v>
      </c>
      <c r="AA6" s="71" t="s">
        <v>552</v>
      </c>
      <c r="AB6" s="72" t="s">
        <v>553</v>
      </c>
      <c r="AC6" s="63" t="s">
        <v>302</v>
      </c>
      <c r="AD6" s="63" t="s">
        <v>114</v>
      </c>
      <c r="AE6" s="63" t="s">
        <v>115</v>
      </c>
      <c r="AF6" s="63" t="s">
        <v>116</v>
      </c>
      <c r="AG6" s="63" t="s">
        <v>282</v>
      </c>
      <c r="AH6" s="63" t="s">
        <v>62</v>
      </c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1-Servicios de apoyo a las estaciones de acuicultura</v>
      </c>
      <c r="AT6" s="80" t="s">
        <v>133</v>
      </c>
      <c r="AU6" s="80" t="s">
        <v>134</v>
      </c>
      <c r="AV6" s="80" t="s">
        <v>135</v>
      </c>
      <c r="AW6" s="80"/>
      <c r="AX6" s="79"/>
      <c r="AY6" s="78" t="str">
        <f t="array" ref="AY6:BD6">INDEX(R_Pro__Act,MATCH(I6,L_Prod,0))</f>
        <v>Desarrollar acciones de extensión rural a través de las estaciones de acuicultura</v>
      </c>
      <c r="AZ6" s="80" t="s">
        <v>157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90</v>
      </c>
      <c r="D7" s="64" t="s">
        <v>195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68</v>
      </c>
      <c r="I7" s="66" t="s">
        <v>132</v>
      </c>
      <c r="J7" s="66" t="s">
        <v>156</v>
      </c>
      <c r="K7" s="66" t="s">
        <v>51</v>
      </c>
      <c r="L7" s="67" t="s">
        <v>121</v>
      </c>
      <c r="M7" s="67" t="s">
        <v>61</v>
      </c>
      <c r="N7" s="67" t="s">
        <v>562</v>
      </c>
      <c r="O7" s="68">
        <v>15.0</v>
      </c>
      <c r="P7" s="109">
        <v>15.0</v>
      </c>
      <c r="Q7" s="70" t="s">
        <v>563</v>
      </c>
      <c r="R7" s="113" t="s">
        <v>564</v>
      </c>
      <c r="S7" s="71" t="s">
        <v>44</v>
      </c>
      <c r="T7" s="109">
        <v>0.0</v>
      </c>
      <c r="U7" s="109">
        <v>0.0</v>
      </c>
      <c r="V7" s="109">
        <v>0.0</v>
      </c>
      <c r="W7" s="109">
        <v>15.0</v>
      </c>
      <c r="X7" s="109" t="s">
        <v>419</v>
      </c>
      <c r="Y7" s="71" t="s">
        <v>550</v>
      </c>
      <c r="Z7" s="71" t="s">
        <v>551</v>
      </c>
      <c r="AA7" s="71" t="s">
        <v>552</v>
      </c>
      <c r="AB7" s="72" t="s">
        <v>553</v>
      </c>
      <c r="AC7" s="63" t="s">
        <v>302</v>
      </c>
      <c r="AD7" s="63" t="s">
        <v>114</v>
      </c>
      <c r="AE7" s="63" t="s">
        <v>115</v>
      </c>
      <c r="AF7" s="63" t="s">
        <v>116</v>
      </c>
      <c r="AG7" s="63" t="s">
        <v>282</v>
      </c>
      <c r="AH7" s="63" t="s">
        <v>62</v>
      </c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1-Servicios de apoyo a las estaciones de acuicultura</v>
      </c>
      <c r="AT7" s="80" t="s">
        <v>133</v>
      </c>
      <c r="AU7" s="80" t="s">
        <v>134</v>
      </c>
      <c r="AV7" s="80" t="s">
        <v>135</v>
      </c>
      <c r="AW7" s="80"/>
      <c r="AX7" s="79"/>
      <c r="AY7" s="78" t="str">
        <f t="array" ref="AY7:BD7">INDEX(R_Pro__Act,MATCH(I7,L_Prod,0))</f>
        <v>Desarrollar acciones de extensión rural a través de las estaciones de acuicultura</v>
      </c>
      <c r="AZ7" s="80" t="s">
        <v>157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90</v>
      </c>
      <c r="D8" s="64" t="s">
        <v>195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100</v>
      </c>
      <c r="J8" s="66" t="s">
        <v>101</v>
      </c>
      <c r="K8" s="66" t="s">
        <v>82</v>
      </c>
      <c r="L8" s="67" t="s">
        <v>60</v>
      </c>
      <c r="M8" s="67" t="s">
        <v>61</v>
      </c>
      <c r="N8" s="67" t="s">
        <v>565</v>
      </c>
      <c r="O8" s="68">
        <v>-3.0</v>
      </c>
      <c r="P8" s="109">
        <v>25.0</v>
      </c>
      <c r="Q8" s="70" t="s">
        <v>566</v>
      </c>
      <c r="R8" s="113" t="s">
        <v>567</v>
      </c>
      <c r="S8" s="71" t="s">
        <v>75</v>
      </c>
      <c r="T8" s="109">
        <v>0.0</v>
      </c>
      <c r="U8" s="109">
        <v>12.0</v>
      </c>
      <c r="V8" s="109">
        <v>0.0</v>
      </c>
      <c r="W8" s="109">
        <v>13.0</v>
      </c>
      <c r="X8" s="109" t="s">
        <v>419</v>
      </c>
      <c r="Y8" s="71" t="s">
        <v>550</v>
      </c>
      <c r="Z8" s="71" t="s">
        <v>551</v>
      </c>
      <c r="AA8" s="71" t="s">
        <v>552</v>
      </c>
      <c r="AB8" s="72" t="s">
        <v>553</v>
      </c>
      <c r="AC8" s="63" t="s">
        <v>302</v>
      </c>
      <c r="AD8" s="63" t="s">
        <v>114</v>
      </c>
      <c r="AE8" s="63" t="s">
        <v>115</v>
      </c>
      <c r="AF8" s="63" t="s">
        <v>116</v>
      </c>
      <c r="AG8" s="63" t="s">
        <v>282</v>
      </c>
      <c r="AH8" s="63" t="s">
        <v>62</v>
      </c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Realizar seguimiento a los acuerdos de ordenación</v>
      </c>
      <c r="AZ8" s="80" t="s">
        <v>102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90</v>
      </c>
      <c r="D9" s="64" t="s">
        <v>195</v>
      </c>
      <c r="E9" s="64" t="s">
        <v>64</v>
      </c>
      <c r="F9" s="65">
        <f>IF(ISBLANK(E9),"",VLOOKUP(E9,R_Inf_Proy,2,0))</f>
        <v>2019011000280</v>
      </c>
      <c r="G9" s="65" t="str">
        <f>IF(ISBLANK(E9),"",VLOOKUP(E9,R_Inf_Proy,3,0))</f>
        <v>Sostenibilidad</v>
      </c>
      <c r="H9" s="66" t="s">
        <v>68</v>
      </c>
      <c r="I9" s="66" t="s">
        <v>135</v>
      </c>
      <c r="J9" s="66" t="s">
        <v>207</v>
      </c>
      <c r="K9" s="66" t="s">
        <v>51</v>
      </c>
      <c r="L9" s="67" t="s">
        <v>121</v>
      </c>
      <c r="M9" s="67" t="s">
        <v>61</v>
      </c>
      <c r="N9" s="67" t="s">
        <v>568</v>
      </c>
      <c r="O9" s="109">
        <v>15.0</v>
      </c>
      <c r="P9" s="68">
        <v>10000.0</v>
      </c>
      <c r="Q9" s="70" t="s">
        <v>569</v>
      </c>
      <c r="R9" s="113" t="s">
        <v>570</v>
      </c>
      <c r="S9" s="71" t="s">
        <v>44</v>
      </c>
      <c r="T9" s="109">
        <v>0.0</v>
      </c>
      <c r="U9" s="109">
        <v>0.0</v>
      </c>
      <c r="V9" s="109">
        <v>0.0</v>
      </c>
      <c r="W9" s="68">
        <v>10000.0</v>
      </c>
      <c r="X9" s="109" t="s">
        <v>419</v>
      </c>
      <c r="Y9" s="71" t="s">
        <v>550</v>
      </c>
      <c r="Z9" s="71" t="s">
        <v>551</v>
      </c>
      <c r="AA9" s="71" t="s">
        <v>552</v>
      </c>
      <c r="AB9" s="72" t="s">
        <v>553</v>
      </c>
      <c r="AC9" s="63" t="s">
        <v>302</v>
      </c>
      <c r="AD9" s="63" t="s">
        <v>114</v>
      </c>
      <c r="AE9" s="63" t="s">
        <v>115</v>
      </c>
      <c r="AF9" s="63" t="s">
        <v>116</v>
      </c>
      <c r="AG9" s="63" t="s">
        <v>282</v>
      </c>
      <c r="AH9" s="63" t="s">
        <v>62</v>
      </c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Mejorar la explotación de los recursos pesqueros y de la acuicultura.</v>
      </c>
      <c r="AP9" s="78" t="s">
        <v>68</v>
      </c>
      <c r="AQ9" s="78"/>
      <c r="AR9" s="79"/>
      <c r="AS9" s="78" t="str">
        <f t="array" ref="AS9:AV9">INDEX(R_ObjEsp__Prod,MATCH(H9,L_ObjEsp,0))</f>
        <v>1-Servicios de apoyo a las estaciones de acuicultura</v>
      </c>
      <c r="AT9" s="80" t="s">
        <v>133</v>
      </c>
      <c r="AU9" s="80" t="s">
        <v>134</v>
      </c>
      <c r="AV9" s="80" t="s">
        <v>135</v>
      </c>
      <c r="AW9" s="80"/>
      <c r="AX9" s="79"/>
      <c r="AY9" s="78" t="str">
        <f t="array" ref="AY9:BD9">INDEX(R_Pro__Act,MATCH(I9,L_Prod,0))</f>
        <v>Generar acciones de fomento para la pesca, la acuicultura y sus actividades conexas.</v>
      </c>
      <c r="AZ9" s="80" t="s">
        <v>207</v>
      </c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90</v>
      </c>
      <c r="D10" s="64" t="s">
        <v>195</v>
      </c>
      <c r="E10" s="64" t="s">
        <v>64</v>
      </c>
      <c r="F10" s="65">
        <f>IF(ISBLANK(E10),"",VLOOKUP(E10,R_Inf_Proy,2,0))</f>
        <v>2019011000280</v>
      </c>
      <c r="G10" s="65" t="str">
        <f>IF(ISBLANK(E10),"",VLOOKUP(E10,R_Inf_Proy,3,0))</f>
        <v>Sostenibilidad</v>
      </c>
      <c r="H10" s="66" t="s">
        <v>68</v>
      </c>
      <c r="I10" s="66" t="s">
        <v>135</v>
      </c>
      <c r="J10" s="66" t="s">
        <v>206</v>
      </c>
      <c r="K10" s="66" t="s">
        <v>51</v>
      </c>
      <c r="L10" s="67" t="s">
        <v>121</v>
      </c>
      <c r="M10" s="67" t="s">
        <v>61</v>
      </c>
      <c r="N10" s="67" t="s">
        <v>571</v>
      </c>
      <c r="O10" s="68">
        <v>15.0</v>
      </c>
      <c r="P10" s="109">
        <v>5.0</v>
      </c>
      <c r="Q10" s="70" t="s">
        <v>572</v>
      </c>
      <c r="R10" s="113" t="s">
        <v>573</v>
      </c>
      <c r="S10" s="71" t="s">
        <v>137</v>
      </c>
      <c r="T10" s="109">
        <v>1.0</v>
      </c>
      <c r="U10" s="109">
        <v>2.0</v>
      </c>
      <c r="V10" s="109">
        <v>1.0</v>
      </c>
      <c r="W10" s="109">
        <v>1.0</v>
      </c>
      <c r="X10" s="109" t="s">
        <v>419</v>
      </c>
      <c r="Y10" s="71" t="s">
        <v>550</v>
      </c>
      <c r="Z10" s="71" t="s">
        <v>551</v>
      </c>
      <c r="AA10" s="71" t="s">
        <v>552</v>
      </c>
      <c r="AB10" s="72" t="s">
        <v>553</v>
      </c>
      <c r="AC10" s="63" t="s">
        <v>302</v>
      </c>
      <c r="AD10" s="63" t="s">
        <v>114</v>
      </c>
      <c r="AE10" s="63" t="s">
        <v>115</v>
      </c>
      <c r="AF10" s="63" t="s">
        <v>116</v>
      </c>
      <c r="AG10" s="63" t="s">
        <v>282</v>
      </c>
      <c r="AH10" s="63" t="s">
        <v>62</v>
      </c>
      <c r="AI10" s="73"/>
      <c r="AJ10" s="73"/>
      <c r="AK10" s="74"/>
      <c r="AL10" s="75"/>
      <c r="AM10" s="76" t="str">
        <f t="shared" si="1"/>
        <v/>
      </c>
      <c r="AO10" s="77" t="str">
        <f t="array" ref="AO10:AQ10">INDEX(R_Proy__ObjEsp,MATCH(E10,L_Proy,0))</f>
        <v>Mejorar la explotación de los recursos pesqueros y de la acuicultura.</v>
      </c>
      <c r="AP10" s="78" t="s">
        <v>68</v>
      </c>
      <c r="AQ10" s="78"/>
      <c r="AR10" s="79"/>
      <c r="AS10" s="78" t="str">
        <f t="array" ref="AS10:AV10">INDEX(R_ObjEsp__Prod,MATCH(H10,L_ObjEsp,0))</f>
        <v>1-Servicios de apoyo a las estaciones de acuicultura</v>
      </c>
      <c r="AT10" s="80" t="s">
        <v>133</v>
      </c>
      <c r="AU10" s="80" t="s">
        <v>134</v>
      </c>
      <c r="AV10" s="80" t="s">
        <v>135</v>
      </c>
      <c r="AW10" s="80"/>
      <c r="AX10" s="79"/>
      <c r="AY10" s="78" t="str">
        <f t="array" ref="AY10:BD10">INDEX(R_Pro__Act,MATCH(I10,L_Prod,0))</f>
        <v>Generar acciones de fomento para la pesca, la acuicultura y sus actividades conexas.</v>
      </c>
      <c r="AZ10" s="80" t="s">
        <v>207</v>
      </c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 t="s">
        <v>90</v>
      </c>
      <c r="D11" s="64" t="s">
        <v>195</v>
      </c>
      <c r="E11" s="64" t="s">
        <v>64</v>
      </c>
      <c r="F11" s="65">
        <f>IF(ISBLANK(E11),"",VLOOKUP(E11,R_Inf_Proy,2,0))</f>
        <v>2019011000280</v>
      </c>
      <c r="G11" s="65" t="str">
        <f>IF(ISBLANK(E11),"",VLOOKUP(E11,R_Inf_Proy,3,0))</f>
        <v>Sostenibilidad</v>
      </c>
      <c r="H11" s="66" t="s">
        <v>67</v>
      </c>
      <c r="I11" s="66" t="s">
        <v>103</v>
      </c>
      <c r="J11" s="66" t="s">
        <v>131</v>
      </c>
      <c r="K11" s="66" t="s">
        <v>51</v>
      </c>
      <c r="L11" s="67" t="s">
        <v>121</v>
      </c>
      <c r="M11" s="67" t="s">
        <v>61</v>
      </c>
      <c r="N11" s="67" t="s">
        <v>574</v>
      </c>
      <c r="O11" s="68">
        <v>15.0</v>
      </c>
      <c r="P11" s="68">
        <v>1.0</v>
      </c>
      <c r="Q11" s="70" t="s">
        <v>575</v>
      </c>
      <c r="R11" s="113" t="s">
        <v>576</v>
      </c>
      <c r="S11" s="71" t="s">
        <v>44</v>
      </c>
      <c r="T11" s="68">
        <v>0.0</v>
      </c>
      <c r="U11" s="68">
        <v>0.0</v>
      </c>
      <c r="V11" s="68">
        <v>0.0</v>
      </c>
      <c r="W11" s="68">
        <v>1.0</v>
      </c>
      <c r="X11" s="109" t="s">
        <v>419</v>
      </c>
      <c r="Y11" s="71" t="s">
        <v>550</v>
      </c>
      <c r="Z11" s="71" t="s">
        <v>551</v>
      </c>
      <c r="AA11" s="71" t="s">
        <v>552</v>
      </c>
      <c r="AB11" s="72" t="s">
        <v>553</v>
      </c>
      <c r="AC11" s="63" t="s">
        <v>302</v>
      </c>
      <c r="AD11" s="63" t="s">
        <v>114</v>
      </c>
      <c r="AE11" s="63" t="s">
        <v>115</v>
      </c>
      <c r="AF11" s="63" t="s">
        <v>116</v>
      </c>
      <c r="AG11" s="63" t="s">
        <v>282</v>
      </c>
      <c r="AH11" s="63" t="s">
        <v>62</v>
      </c>
      <c r="AI11" s="73"/>
      <c r="AJ11" s="73"/>
      <c r="AK11" s="74"/>
      <c r="AL11" s="75"/>
      <c r="AM11" s="76" t="str">
        <f t="shared" si="1"/>
        <v/>
      </c>
      <c r="AO11" s="77" t="str">
        <f t="array" ref="AO11:AQ11">INDEX(R_Proy__ObjEsp,MATCH(E11,L_Proy,0))</f>
        <v>Mejorar la explotación de los recursos pesqueros y de la acuicultura.</v>
      </c>
      <c r="AP11" s="78" t="s">
        <v>68</v>
      </c>
      <c r="AQ11" s="78"/>
      <c r="AR11" s="79"/>
      <c r="AS11" s="78" t="str">
        <f t="array" ref="AS11:AV11">INDEX(R_ObjEsp__Prod,MATCH(H11,L_ObjEsp,0))</f>
        <v>Servicio de ordenación pesquera y de la acuicultura</v>
      </c>
      <c r="AT11" s="80" t="s">
        <v>103</v>
      </c>
      <c r="AU11" s="80"/>
      <c r="AV11" s="80"/>
      <c r="AW11" s="80"/>
      <c r="AX11" s="79"/>
      <c r="AY11" s="78" t="str">
        <f t="array" ref="AY11:BD11">INDEX(R_Pro__Act,MATCH(I11,L_Prod,0))</f>
        <v>Regular el manejo y el ejercicio de la actividad pesquera y de la acuicultura.</v>
      </c>
      <c r="AZ11" s="80" t="s">
        <v>131</v>
      </c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 t="s">
        <v>90</v>
      </c>
      <c r="D12" s="64" t="s">
        <v>195</v>
      </c>
      <c r="E12" s="64" t="s">
        <v>64</v>
      </c>
      <c r="F12" s="65">
        <f>IF(ISBLANK(E12),"",VLOOKUP(E12,R_Inf_Proy,2,0))</f>
        <v>2019011000280</v>
      </c>
      <c r="G12" s="65" t="str">
        <f>IF(ISBLANK(E12),"",VLOOKUP(E12,R_Inf_Proy,3,0))</f>
        <v>Sostenibilidad</v>
      </c>
      <c r="H12" s="66" t="s">
        <v>67</v>
      </c>
      <c r="I12" s="66" t="s">
        <v>103</v>
      </c>
      <c r="J12" s="66" t="s">
        <v>131</v>
      </c>
      <c r="K12" s="66" t="s">
        <v>51</v>
      </c>
      <c r="L12" s="67" t="s">
        <v>121</v>
      </c>
      <c r="M12" s="67" t="s">
        <v>61</v>
      </c>
      <c r="N12" s="67" t="s">
        <v>577</v>
      </c>
      <c r="O12" s="68">
        <v>15.0</v>
      </c>
      <c r="P12" s="68">
        <v>1.0</v>
      </c>
      <c r="Q12" s="70" t="s">
        <v>578</v>
      </c>
      <c r="R12" s="113" t="s">
        <v>579</v>
      </c>
      <c r="S12" s="71" t="s">
        <v>44</v>
      </c>
      <c r="T12" s="68">
        <v>0.0</v>
      </c>
      <c r="U12" s="68">
        <v>0.0</v>
      </c>
      <c r="V12" s="68">
        <v>0.0</v>
      </c>
      <c r="W12" s="68">
        <v>1.0</v>
      </c>
      <c r="X12" s="109" t="s">
        <v>419</v>
      </c>
      <c r="Y12" s="71" t="s">
        <v>550</v>
      </c>
      <c r="Z12" s="71" t="s">
        <v>551</v>
      </c>
      <c r="AA12" s="71" t="s">
        <v>552</v>
      </c>
      <c r="AB12" s="72" t="s">
        <v>553</v>
      </c>
      <c r="AC12" s="63" t="s">
        <v>302</v>
      </c>
      <c r="AD12" s="63" t="s">
        <v>114</v>
      </c>
      <c r="AE12" s="63" t="s">
        <v>115</v>
      </c>
      <c r="AF12" s="63" t="s">
        <v>116</v>
      </c>
      <c r="AG12" s="63" t="s">
        <v>282</v>
      </c>
      <c r="AH12" s="63" t="s">
        <v>62</v>
      </c>
      <c r="AI12" s="73"/>
      <c r="AJ12" s="73"/>
      <c r="AK12" s="74"/>
      <c r="AL12" s="75"/>
      <c r="AM12" s="76" t="str">
        <f t="shared" si="1"/>
        <v/>
      </c>
      <c r="AO12" s="77" t="str">
        <f t="array" ref="AO12:AQ12">INDEX(R_Proy__ObjEsp,MATCH(E12,L_Proy,0))</f>
        <v>Mejorar la explotación de los recursos pesqueros y de la acuicultura.</v>
      </c>
      <c r="AP12" s="78" t="s">
        <v>68</v>
      </c>
      <c r="AQ12" s="78"/>
      <c r="AR12" s="79"/>
      <c r="AS12" s="78" t="str">
        <f t="array" ref="AS12:AV12">INDEX(R_ObjEsp__Prod,MATCH(H12,L_ObjEsp,0))</f>
        <v>Servicio de ordenación pesquera y de la acuicultura</v>
      </c>
      <c r="AT12" s="80" t="s">
        <v>103</v>
      </c>
      <c r="AU12" s="80"/>
      <c r="AV12" s="80"/>
      <c r="AW12" s="80"/>
      <c r="AX12" s="79"/>
      <c r="AY12" s="78" t="str">
        <f t="array" ref="AY12:BD12">INDEX(R_Pro__Act,MATCH(I12,L_Prod,0))</f>
        <v>Regular el manejo y el ejercicio de la actividad pesquera y de la acuicultura.</v>
      </c>
      <c r="AZ12" s="80" t="s">
        <v>131</v>
      </c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 t="s">
        <v>90</v>
      </c>
      <c r="D13" s="64" t="s">
        <v>195</v>
      </c>
      <c r="E13" s="64" t="s">
        <v>64</v>
      </c>
      <c r="F13" s="65">
        <f>IF(ISBLANK(E13),"",VLOOKUP(E13,R_Inf_Proy,2,0))</f>
        <v>2019011000280</v>
      </c>
      <c r="G13" s="65" t="str">
        <f>IF(ISBLANK(E13),"",VLOOKUP(E13,R_Inf_Proy,3,0))</f>
        <v>Sostenibilidad</v>
      </c>
      <c r="H13" s="66" t="s">
        <v>67</v>
      </c>
      <c r="I13" s="66" t="s">
        <v>103</v>
      </c>
      <c r="J13" s="66" t="s">
        <v>130</v>
      </c>
      <c r="K13" s="66" t="s">
        <v>51</v>
      </c>
      <c r="L13" s="67" t="s">
        <v>91</v>
      </c>
      <c r="M13" s="67" t="s">
        <v>61</v>
      </c>
      <c r="N13" s="67" t="s">
        <v>580</v>
      </c>
      <c r="O13" s="68">
        <v>15.0</v>
      </c>
      <c r="P13" s="68">
        <v>1.0</v>
      </c>
      <c r="Q13" s="70" t="s">
        <v>581</v>
      </c>
      <c r="R13" s="113" t="s">
        <v>582</v>
      </c>
      <c r="S13" s="71" t="s">
        <v>44</v>
      </c>
      <c r="T13" s="68">
        <v>0.0</v>
      </c>
      <c r="U13" s="68">
        <v>0.0</v>
      </c>
      <c r="V13" s="68">
        <v>0.0</v>
      </c>
      <c r="W13" s="68">
        <v>1.0</v>
      </c>
      <c r="X13" s="109" t="s">
        <v>419</v>
      </c>
      <c r="Y13" s="71" t="s">
        <v>550</v>
      </c>
      <c r="Z13" s="71" t="s">
        <v>551</v>
      </c>
      <c r="AA13" s="71" t="s">
        <v>552</v>
      </c>
      <c r="AB13" s="72" t="s">
        <v>553</v>
      </c>
      <c r="AC13" s="63" t="s">
        <v>302</v>
      </c>
      <c r="AD13" s="63" t="s">
        <v>114</v>
      </c>
      <c r="AE13" s="63" t="s">
        <v>115</v>
      </c>
      <c r="AF13" s="63" t="s">
        <v>116</v>
      </c>
      <c r="AG13" s="63" t="s">
        <v>282</v>
      </c>
      <c r="AH13" s="63" t="s">
        <v>62</v>
      </c>
      <c r="AI13" s="73"/>
      <c r="AJ13" s="73"/>
      <c r="AK13" s="74"/>
      <c r="AL13" s="75"/>
      <c r="AM13" s="76" t="str">
        <f t="shared" si="1"/>
        <v/>
      </c>
      <c r="AO13" s="77" t="str">
        <f t="array" ref="AO13:AQ13">INDEX(R_Proy__ObjEsp,MATCH(E13,L_Proy,0))</f>
        <v>Mejorar la explotación de los recursos pesqueros y de la acuicultura.</v>
      </c>
      <c r="AP13" s="78" t="s">
        <v>68</v>
      </c>
      <c r="AQ13" s="78"/>
      <c r="AR13" s="79"/>
      <c r="AS13" s="78" t="str">
        <f t="array" ref="AS13:AV13">INDEX(R_ObjEsp__Prod,MATCH(H13,L_ObjEsp,0))</f>
        <v>Servicio de ordenación pesquera y de la acuicultura</v>
      </c>
      <c r="AT13" s="80" t="s">
        <v>103</v>
      </c>
      <c r="AU13" s="80"/>
      <c r="AV13" s="80"/>
      <c r="AW13" s="80"/>
      <c r="AX13" s="79"/>
      <c r="AY13" s="78" t="str">
        <f t="array" ref="AY13:BD13">INDEX(R_Pro__Act,MATCH(I13,L_Prod,0))</f>
        <v>Regular el manejo y el ejercicio de la actividad pesquera y de la acuicultura.</v>
      </c>
      <c r="AZ13" s="80" t="s">
        <v>131</v>
      </c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114">
        <v>12.0</v>
      </c>
      <c r="C14" s="63" t="s">
        <v>90</v>
      </c>
      <c r="D14" s="64" t="s">
        <v>195</v>
      </c>
      <c r="E14" s="64" t="s">
        <v>64</v>
      </c>
      <c r="F14" s="65">
        <f>IF(ISBLANK(E14),"",VLOOKUP(E14,R_Inf_Proy,2,0))</f>
        <v>2019011000280</v>
      </c>
      <c r="G14" s="65" t="str">
        <f>IF(ISBLANK(E14),"",VLOOKUP(E14,R_Inf_Proy,3,0))</f>
        <v>Sostenibilidad</v>
      </c>
      <c r="H14" s="66" t="s">
        <v>67</v>
      </c>
      <c r="I14" s="66" t="s">
        <v>103</v>
      </c>
      <c r="J14" s="66" t="s">
        <v>130</v>
      </c>
      <c r="K14" s="66" t="s">
        <v>51</v>
      </c>
      <c r="L14" s="67" t="s">
        <v>91</v>
      </c>
      <c r="M14" s="67" t="s">
        <v>61</v>
      </c>
      <c r="N14" s="67" t="s">
        <v>580</v>
      </c>
      <c r="O14" s="68"/>
      <c r="P14" s="68">
        <v>1.0</v>
      </c>
      <c r="Q14" s="70" t="s">
        <v>583</v>
      </c>
      <c r="R14" s="113" t="s">
        <v>582</v>
      </c>
      <c r="S14" s="71" t="s">
        <v>44</v>
      </c>
      <c r="T14" s="68">
        <v>0.0</v>
      </c>
      <c r="U14" s="68">
        <v>0.0</v>
      </c>
      <c r="V14" s="68">
        <v>0.0</v>
      </c>
      <c r="W14" s="68">
        <v>1.0</v>
      </c>
      <c r="X14" s="109" t="s">
        <v>419</v>
      </c>
      <c r="Y14" s="71" t="s">
        <v>550</v>
      </c>
      <c r="Z14" s="71" t="s">
        <v>551</v>
      </c>
      <c r="AA14" s="71" t="s">
        <v>552</v>
      </c>
      <c r="AB14" s="72" t="s">
        <v>553</v>
      </c>
      <c r="AC14" s="63" t="s">
        <v>302</v>
      </c>
      <c r="AD14" s="63" t="s">
        <v>114</v>
      </c>
      <c r="AE14" s="63" t="s">
        <v>115</v>
      </c>
      <c r="AF14" s="63" t="s">
        <v>116</v>
      </c>
      <c r="AG14" s="63" t="s">
        <v>282</v>
      </c>
      <c r="AH14" s="63" t="s">
        <v>62</v>
      </c>
      <c r="AI14" s="73"/>
      <c r="AJ14" s="73"/>
      <c r="AK14" s="74"/>
      <c r="AL14" s="75"/>
      <c r="AM14" s="76"/>
      <c r="AO14" s="77"/>
      <c r="AP14" s="78"/>
      <c r="AQ14" s="78"/>
      <c r="AR14" s="79"/>
      <c r="AS14" s="78"/>
      <c r="AT14" s="80"/>
      <c r="AU14" s="80"/>
      <c r="AV14" s="80"/>
      <c r="AW14" s="80"/>
      <c r="AX14" s="79"/>
      <c r="AY14" s="78"/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114">
        <v>13.0</v>
      </c>
      <c r="C15" s="63" t="s">
        <v>90</v>
      </c>
      <c r="D15" s="64" t="s">
        <v>195</v>
      </c>
      <c r="E15" s="64" t="s">
        <v>64</v>
      </c>
      <c r="F15" s="65">
        <f>IF(ISBLANK(E15),"",VLOOKUP(E15,R_Inf_Proy,2,0))</f>
        <v>2019011000280</v>
      </c>
      <c r="G15" s="65" t="str">
        <f>IF(ISBLANK(E15),"",VLOOKUP(E15,R_Inf_Proy,3,0))</f>
        <v>Sostenibilidad</v>
      </c>
      <c r="H15" s="66" t="s">
        <v>67</v>
      </c>
      <c r="I15" s="66" t="s">
        <v>103</v>
      </c>
      <c r="J15" s="66" t="s">
        <v>130</v>
      </c>
      <c r="K15" s="66" t="s">
        <v>82</v>
      </c>
      <c r="L15" s="67" t="s">
        <v>121</v>
      </c>
      <c r="M15" s="67" t="s">
        <v>61</v>
      </c>
      <c r="N15" s="67" t="s">
        <v>584</v>
      </c>
      <c r="O15" s="68">
        <v>-7140.0</v>
      </c>
      <c r="P15" s="68">
        <v>15.0</v>
      </c>
      <c r="Q15" s="70" t="s">
        <v>585</v>
      </c>
      <c r="R15" s="113" t="s">
        <v>586</v>
      </c>
      <c r="S15" s="71" t="s">
        <v>75</v>
      </c>
      <c r="T15" s="68">
        <v>0.0</v>
      </c>
      <c r="U15" s="68">
        <v>6.0</v>
      </c>
      <c r="V15" s="68">
        <v>0.0</v>
      </c>
      <c r="W15" s="68">
        <v>9.0</v>
      </c>
      <c r="X15" s="109" t="s">
        <v>419</v>
      </c>
      <c r="Y15" s="71" t="s">
        <v>550</v>
      </c>
      <c r="Z15" s="71" t="s">
        <v>551</v>
      </c>
      <c r="AA15" s="71" t="s">
        <v>552</v>
      </c>
      <c r="AB15" s="72" t="s">
        <v>553</v>
      </c>
      <c r="AC15" s="63" t="s">
        <v>302</v>
      </c>
      <c r="AD15" s="63" t="s">
        <v>114</v>
      </c>
      <c r="AE15" s="63" t="s">
        <v>115</v>
      </c>
      <c r="AF15" s="63" t="s">
        <v>116</v>
      </c>
      <c r="AG15" s="63" t="s">
        <v>282</v>
      </c>
      <c r="AH15" s="63" t="s">
        <v>62</v>
      </c>
      <c r="AI15" s="73"/>
      <c r="AJ15" s="73"/>
      <c r="AK15" s="74"/>
      <c r="AL15" s="75"/>
      <c r="AM15" s="76" t="str">
        <f t="shared" ref="AM15:AM102" si="2">IF(K15="PRODUCTO",VLOOKUP(I15,#REF!,6,0),IF(K15="GESTIÓN",VLOOKUP(E15,#REF!,14,0),""))</f>
        <v/>
      </c>
      <c r="AO15" s="77" t="str">
        <f t="array" ref="AO15:AQ15">INDEX(R_Proy__ObjEsp,MATCH(E15,L_Proy,0))</f>
        <v>Mejorar la explotación de los recursos pesqueros y de la acuicultura.</v>
      </c>
      <c r="AP15" s="78" t="s">
        <v>68</v>
      </c>
      <c r="AQ15" s="78"/>
      <c r="AR15" s="79"/>
      <c r="AS15" s="78" t="str">
        <f t="array" ref="AS15:AV15">INDEX(R_ObjEsp__Prod,MATCH(H15,L_ObjEsp,0))</f>
        <v>Servicio de ordenación pesquera y de la acuicultura</v>
      </c>
      <c r="AT15" s="80" t="s">
        <v>103</v>
      </c>
      <c r="AU15" s="80"/>
      <c r="AV15" s="80"/>
      <c r="AW15" s="80"/>
      <c r="AX15" s="79"/>
      <c r="AY15" s="78" t="str">
        <f t="array" ref="AY15:BD15">INDEX(R_Pro__Act,MATCH(I15,L_Prod,0))</f>
        <v>Regular el manejo y el ejercicio de la actividad pesquera y de la acuicultura.</v>
      </c>
      <c r="AZ15" s="80" t="s">
        <v>131</v>
      </c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114">
        <v>14.0</v>
      </c>
      <c r="C16" s="63" t="s">
        <v>90</v>
      </c>
      <c r="D16" s="64" t="s">
        <v>195</v>
      </c>
      <c r="E16" s="64" t="s">
        <v>64</v>
      </c>
      <c r="F16" s="65">
        <f>IF(ISBLANK(E16),"",VLOOKUP(E16,R_Inf_Proy,2,0))</f>
        <v>2019011000280</v>
      </c>
      <c r="G16" s="65" t="str">
        <f>IF(ISBLANK(E16),"",VLOOKUP(E16,R_Inf_Proy,3,0))</f>
        <v>Sostenibilidad</v>
      </c>
      <c r="H16" s="66" t="s">
        <v>67</v>
      </c>
      <c r="I16" s="66" t="s">
        <v>103</v>
      </c>
      <c r="J16" s="66" t="s">
        <v>130</v>
      </c>
      <c r="K16" s="66" t="s">
        <v>82</v>
      </c>
      <c r="L16" s="67" t="s">
        <v>121</v>
      </c>
      <c r="M16" s="67" t="s">
        <v>61</v>
      </c>
      <c r="N16" s="67" t="s">
        <v>587</v>
      </c>
      <c r="O16" s="68">
        <v>15.0</v>
      </c>
      <c r="P16" s="68">
        <v>47000.0</v>
      </c>
      <c r="Q16" s="70" t="s">
        <v>588</v>
      </c>
      <c r="R16" s="113" t="s">
        <v>589</v>
      </c>
      <c r="S16" s="71" t="s">
        <v>44</v>
      </c>
      <c r="T16" s="68">
        <v>0.0</v>
      </c>
      <c r="U16" s="68">
        <v>0.0</v>
      </c>
      <c r="V16" s="68">
        <v>0.0</v>
      </c>
      <c r="W16" s="68">
        <v>47000.0</v>
      </c>
      <c r="X16" s="109" t="s">
        <v>419</v>
      </c>
      <c r="Y16" s="71" t="s">
        <v>550</v>
      </c>
      <c r="Z16" s="71" t="s">
        <v>551</v>
      </c>
      <c r="AA16" s="71" t="s">
        <v>552</v>
      </c>
      <c r="AB16" s="72" t="s">
        <v>553</v>
      </c>
      <c r="AC16" s="63" t="s">
        <v>302</v>
      </c>
      <c r="AD16" s="63" t="s">
        <v>114</v>
      </c>
      <c r="AE16" s="63" t="s">
        <v>115</v>
      </c>
      <c r="AF16" s="63" t="s">
        <v>116</v>
      </c>
      <c r="AG16" s="63" t="s">
        <v>282</v>
      </c>
      <c r="AH16" s="63" t="s">
        <v>62</v>
      </c>
      <c r="AI16" s="73"/>
      <c r="AJ16" s="73"/>
      <c r="AK16" s="74"/>
      <c r="AL16" s="75"/>
      <c r="AM16" s="76" t="str">
        <f t="shared" si="2"/>
        <v/>
      </c>
      <c r="AO16" s="77" t="str">
        <f t="array" ref="AO16:AQ16">INDEX(R_Proy__ObjEsp,MATCH(E16,L_Proy,0))</f>
        <v>Mejorar la explotación de los recursos pesqueros y de la acuicultura.</v>
      </c>
      <c r="AP16" s="78" t="s">
        <v>68</v>
      </c>
      <c r="AQ16" s="78"/>
      <c r="AR16" s="79"/>
      <c r="AS16" s="78" t="str">
        <f t="array" ref="AS16:AV16">INDEX(R_ObjEsp__Prod,MATCH(H16,L_ObjEsp,0))</f>
        <v>Servicio de ordenación pesquera y de la acuicultura</v>
      </c>
      <c r="AT16" s="80" t="s">
        <v>103</v>
      </c>
      <c r="AU16" s="80"/>
      <c r="AV16" s="80"/>
      <c r="AW16" s="80"/>
      <c r="AX16" s="79"/>
      <c r="AY16" s="78" t="str">
        <f t="array" ref="AY16:BD16">INDEX(R_Pro__Act,MATCH(I16,L_Prod,0))</f>
        <v>Regular el manejo y el ejercicio de la actividad pesquera y de la acuicultura.</v>
      </c>
      <c r="AZ16" s="80" t="s">
        <v>131</v>
      </c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/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115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2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15.0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115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2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16.0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115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2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17.0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115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2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18.0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115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2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19.0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115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2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20.0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115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2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21.0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115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2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22.0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115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2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23.0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115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2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24.0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115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2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25.0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115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2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26.0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115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2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27.0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115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2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28.0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115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2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29.0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115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2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30.0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115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2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31.0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115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2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32.0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115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2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33.0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115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2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34.0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115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2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35.0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115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2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36.0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115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2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37.0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115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2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38.0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115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2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39.0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115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2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40.0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115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2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41.0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115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2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42.0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115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2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43.0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115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2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44.0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115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2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45.0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115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2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46.0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115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2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47.0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115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2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48.0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115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2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49.0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115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2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50.0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115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2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51.0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115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2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52.0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115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2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53.0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115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2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54.0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115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2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55.0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115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2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56.0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115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2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57.0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115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2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58.0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115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2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59.0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115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2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60.0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115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2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61.0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115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2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62.0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115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2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63.0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115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2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64.0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115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2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65.0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115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2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66.0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115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2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67.0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115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2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68.0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115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2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69.0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115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2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70.0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115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2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71.0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115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2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72.0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115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2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73.0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115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2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74.0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115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2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75.0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115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2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76.0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115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2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77.0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115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2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78.0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115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2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79.0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115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2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80.0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115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2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81.0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115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2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82.0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115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2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83.0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115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2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84.0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115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2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85.0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115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2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86.0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115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2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87.0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115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2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88.0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115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2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89.0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115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2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90.0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115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2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91.0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115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2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92.0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115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2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93.0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115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2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94.0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115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2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95.0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115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2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96.0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/>
      <c r="O99" s="81"/>
      <c r="P99" s="81"/>
      <c r="Q99" s="82"/>
      <c r="R99" s="83"/>
      <c r="S99" s="83"/>
      <c r="T99" s="81"/>
      <c r="U99" s="81"/>
      <c r="V99" s="81"/>
      <c r="W99" s="81"/>
      <c r="X99" s="115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2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97.0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115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2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98.0</v>
      </c>
      <c r="C101" s="85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115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2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62">
        <v>99.0</v>
      </c>
      <c r="C102" s="63"/>
      <c r="D102" s="64"/>
      <c r="E102" s="64"/>
      <c r="F102" s="65" t="str">
        <f>IF(ISBLANK(E102),"",VLOOKUP(E102,R_Inf_Proy,2,0))</f>
        <v/>
      </c>
      <c r="G102" s="65" t="str">
        <f>IF(ISBLANK(E102),"",VLOOKUP(E102,R_Inf_Proy,3,0))</f>
        <v/>
      </c>
      <c r="H102" s="86"/>
      <c r="I102" s="86"/>
      <c r="J102" s="86"/>
      <c r="K102" s="66"/>
      <c r="L102" s="87"/>
      <c r="M102" s="87"/>
      <c r="N102" s="87" t="str">
        <f>IF(K102="PRODUCTO",RIGHT(VLOOKUP(I102,R_Ind_Prod,2,0),LEN(VLOOKUP(I102,R_Ind_Prod,2,0))-12),IF(K102="GESTIÓN",RIGHT(VLOOKUP(E102,R_Ind_Gest,12,0),LEN(VLOOKUP(E102,R_Ind_Gest,12,0))-11),""))</f>
        <v/>
      </c>
      <c r="O102" s="81"/>
      <c r="P102" s="81"/>
      <c r="Q102" s="82"/>
      <c r="R102" s="83"/>
      <c r="S102" s="83"/>
      <c r="T102" s="81"/>
      <c r="U102" s="81"/>
      <c r="V102" s="81"/>
      <c r="W102" s="81"/>
      <c r="X102" s="115"/>
      <c r="Y102" s="83"/>
      <c r="Z102" s="83"/>
      <c r="AA102" s="83"/>
      <c r="AB102" s="73"/>
      <c r="AC102" s="85"/>
      <c r="AD102" s="85"/>
      <c r="AE102" s="85"/>
      <c r="AF102" s="85"/>
      <c r="AG102" s="85"/>
      <c r="AH102" s="85"/>
      <c r="AI102" s="73"/>
      <c r="AJ102" s="73"/>
      <c r="AK102" s="74"/>
      <c r="AL102" s="75"/>
      <c r="AM102" s="76" t="str">
        <f t="shared" si="2"/>
        <v/>
      </c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67.5" customHeight="1">
      <c r="A103" s="39"/>
      <c r="B103" s="88">
        <v>100.0</v>
      </c>
      <c r="C103" s="89"/>
      <c r="D103" s="90"/>
      <c r="E103" s="90"/>
      <c r="F103" s="91" t="str">
        <f>IF(ISBLANK(E103),"",VLOOKUP(E103,R_Inf_Proy,2,0))</f>
        <v/>
      </c>
      <c r="G103" s="91" t="str">
        <f>IF(ISBLANK(E103),"",VLOOKUP(E103,R_Inf_Proy,3,0))</f>
        <v/>
      </c>
      <c r="H103" s="92"/>
      <c r="I103" s="92"/>
      <c r="J103" s="92"/>
      <c r="K103" s="93"/>
      <c r="L103" s="94"/>
      <c r="M103" s="94"/>
      <c r="N103" s="94" t="str">
        <f>IF(K103="PRODUCTO",RIGHT(VLOOKUP(I103,R_Ind_Prod,2,0),LEN(VLOOKUP(I103,R_Ind_Prod,2,0))-12),IF(K103="GESTIÓN",RIGHT(VLOOKUP(E103,R_Ind_Gest,12,0),LEN(VLOOKUP(E103,R_Ind_Gest,12,0))-11),""))</f>
        <v/>
      </c>
      <c r="O103" s="95"/>
      <c r="P103" s="96"/>
      <c r="Q103" s="97"/>
      <c r="R103" s="98"/>
      <c r="S103" s="98"/>
      <c r="T103" s="95"/>
      <c r="U103" s="95"/>
      <c r="V103" s="95"/>
      <c r="W103" s="95"/>
      <c r="X103" s="116"/>
      <c r="Y103" s="98"/>
      <c r="Z103" s="98"/>
      <c r="AA103" s="98"/>
      <c r="AB103" s="99"/>
      <c r="AC103" s="89"/>
      <c r="AD103" s="89"/>
      <c r="AE103" s="89"/>
      <c r="AF103" s="89"/>
      <c r="AG103" s="89"/>
      <c r="AH103" s="89"/>
      <c r="AI103" s="99"/>
      <c r="AJ103" s="99"/>
      <c r="AK103" s="100"/>
      <c r="AL103" s="101"/>
      <c r="AM103" s="102"/>
      <c r="AO103" s="77" t="str">
        <f t="array" ref="AO103">INDEX(R_Proy__ObjEsp,MATCH(E103,L_Proy,0))</f>
        <v>#N/A</v>
      </c>
      <c r="AP103" s="78"/>
      <c r="AQ103" s="78"/>
      <c r="AR103" s="79"/>
      <c r="AS103" s="78" t="str">
        <f t="array" ref="AS103">INDEX(R_ObjEsp__Prod,MATCH(H103,L_ObjEsp,0))</f>
        <v>#N/A</v>
      </c>
      <c r="AT103" s="80"/>
      <c r="AU103" s="80"/>
      <c r="AV103" s="80"/>
      <c r="AW103" s="80"/>
      <c r="AX103" s="79"/>
      <c r="AY103" s="78" t="str">
        <f t="array" ref="AY103">INDEX(R_Pro__Act,MATCH(I103,L_Prod,0))</f>
        <v>#N/A</v>
      </c>
      <c r="AZ103" s="80"/>
      <c r="BA103" s="80"/>
      <c r="BB103" s="80"/>
      <c r="BC103" s="80"/>
      <c r="BD103" s="80"/>
      <c r="BE103" s="79"/>
      <c r="BF103" s="79"/>
      <c r="BG103" s="79"/>
      <c r="BH103" s="79"/>
      <c r="BI103" s="79"/>
      <c r="BJ103" s="79"/>
      <c r="BK103" s="79"/>
      <c r="BL103" s="79"/>
      <c r="BM103" s="79"/>
    </row>
    <row r="104" ht="15.75" customHeight="1">
      <c r="A104" s="44"/>
      <c r="B104" s="44"/>
      <c r="C104" s="103"/>
      <c r="D104" s="44"/>
      <c r="E104" s="44"/>
      <c r="F104" s="44"/>
      <c r="G104" s="44"/>
      <c r="H104" s="44"/>
      <c r="I104" s="44"/>
      <c r="J104" s="44"/>
      <c r="K104" s="44"/>
      <c r="L104" s="104"/>
      <c r="M104" s="104"/>
      <c r="N104" s="104"/>
      <c r="O104" s="105"/>
      <c r="P104" s="105"/>
      <c r="Q104" s="44"/>
      <c r="R104" s="104"/>
      <c r="S104" s="104"/>
      <c r="T104" s="105"/>
      <c r="U104" s="105"/>
      <c r="V104" s="105"/>
      <c r="W104" s="105"/>
      <c r="X104" s="117"/>
      <c r="Y104" s="104"/>
      <c r="Z104" s="104"/>
      <c r="AA104" s="104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6"/>
      <c r="AM104" s="107"/>
    </row>
  </sheetData>
  <customSheetViews>
    <customSheetView guid="{53D55F53-C764-4421-A3EC-48DE59138C30}" filter="1" showAutoFilter="1">
      <autoFilter ref="$D$2:$BF$103"/>
    </customSheetView>
  </customSheetViews>
  <conditionalFormatting sqref="P3">
    <cfRule type="expression" dxfId="0" priority="1">
      <formula>SUM(T3:W3)&lt;&gt;P3</formula>
    </cfRule>
  </conditionalFormatting>
  <conditionalFormatting sqref="P4:P101 P103">
    <cfRule type="expression" dxfId="0" priority="2">
      <formula>SUM(T4:W4)&lt;&gt;P4</formula>
    </cfRule>
  </conditionalFormatting>
  <conditionalFormatting sqref="P102">
    <cfRule type="expression" dxfId="0" priority="3">
      <formula>SUM(T102:W102)&lt;&gt;P102</formula>
    </cfRule>
  </conditionalFormatting>
  <dataValidations>
    <dataValidation type="list" allowBlank="1" sqref="AF3:AF103">
      <formula1>l_Poli</formula1>
    </dataValidation>
    <dataValidation type="custom" allowBlank="1" showDropDown="1" sqref="AL3:AL103">
      <formula1>OR(NOT(ISERROR(DATEVALUE(AL3))), AND(ISNUMBER(AL3), LEFT(CELL("format", AL3))="D"))</formula1>
    </dataValidation>
    <dataValidation type="list" allowBlank="1" sqref="S3:S103">
      <formula1>L_Ind_Peri</formula1>
    </dataValidation>
    <dataValidation type="list" allowBlank="1" sqref="AG3:AG103">
      <formula1>l_ODS</formula1>
    </dataValidation>
    <dataValidation type="list" allowBlank="1" sqref="D3:D103">
      <formula1>L_Area</formula1>
    </dataValidation>
    <dataValidation type="list" allowBlank="1" showInputMessage="1" showErrorMessage="1" prompt="Seleccionar producto valido para el proyecto" sqref="J3:J103">
      <formula1>AY3:BD3</formula1>
    </dataValidation>
    <dataValidation type="list" allowBlank="1" showInputMessage="1" showErrorMessage="1" prompt="Seleccionar producto valido para el proyecto" sqref="H3:H103">
      <formula1>AO3:AQ3</formula1>
    </dataValidation>
    <dataValidation type="list" allowBlank="1" sqref="L3:L103">
      <formula1>L_Cat</formula1>
    </dataValidation>
    <dataValidation type="list" allowBlank="1" sqref="AC3:AC103">
      <formula1>l_Clas</formula1>
    </dataValidation>
    <dataValidation type="list" allowBlank="1" sqref="AE3:AE103">
      <formula1>l_Dim</formula1>
    </dataValidation>
    <dataValidation type="list" allowBlank="1" sqref="AJ3:AK15 AK16:AK103">
      <formula1>#REF!</formula1>
    </dataValidation>
    <dataValidation type="list" allowBlank="1" sqref="E3:E103">
      <formula1>L_Proy</formula1>
    </dataValidation>
    <dataValidation type="list" allowBlank="1" sqref="K3:K103">
      <formula1>L_Ind_Tipo</formula1>
    </dataValidation>
    <dataValidation type="list" allowBlank="1" sqref="AH3:AH103">
      <formula1>L_Dere</formula1>
    </dataValidation>
    <dataValidation type="list" allowBlank="1" showErrorMessage="1" sqref="C3:C103">
      <formula1>L_Proc</formula1>
    </dataValidation>
    <dataValidation type="list" allowBlank="1" sqref="M3:M103">
      <formula1>L_Uni</formula1>
    </dataValidation>
    <dataValidation type="list" allowBlank="1" sqref="AD3:AD103">
      <formula1>l_ObjIns</formula1>
    </dataValidation>
    <dataValidation type="list" allowBlank="1" showInputMessage="1" showErrorMessage="1" prompt="Seleccionar producto valido para el proyecto" sqref="I3:I103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120</v>
      </c>
      <c r="D3" s="64" t="s">
        <v>210</v>
      </c>
      <c r="E3" s="64" t="s">
        <v>30</v>
      </c>
      <c r="F3" s="65">
        <f>IF(ISBLANK(E3),"",VLOOKUP(E3,R_Inf_Proy,2,0))</f>
        <v>2019011000276</v>
      </c>
      <c r="G3" s="65" t="str">
        <f>IF(ISBLANK(E3),"",VLOOKUP(E3,R_Inf_Proy,3,0))</f>
        <v>Inspección</v>
      </c>
      <c r="H3" s="66" t="s">
        <v>34</v>
      </c>
      <c r="I3" s="66" t="s">
        <v>69</v>
      </c>
      <c r="J3" s="66" t="s">
        <v>70</v>
      </c>
      <c r="K3" s="66" t="s">
        <v>51</v>
      </c>
      <c r="L3" s="67" t="s">
        <v>60</v>
      </c>
      <c r="M3" s="67" t="s">
        <v>61</v>
      </c>
      <c r="N3" s="67" t="s">
        <v>590</v>
      </c>
      <c r="O3" s="68">
        <v>110.0</v>
      </c>
      <c r="P3" s="109">
        <v>70.0</v>
      </c>
      <c r="Q3" s="70" t="s">
        <v>591</v>
      </c>
      <c r="R3" s="71" t="s">
        <v>592</v>
      </c>
      <c r="S3" s="71" t="s">
        <v>137</v>
      </c>
      <c r="T3" s="109">
        <v>0.0</v>
      </c>
      <c r="U3" s="109">
        <v>10.0</v>
      </c>
      <c r="V3" s="109">
        <v>30.0</v>
      </c>
      <c r="W3" s="109">
        <v>30.0</v>
      </c>
      <c r="X3" s="70" t="s">
        <v>210</v>
      </c>
      <c r="Y3" s="71" t="s">
        <v>593</v>
      </c>
      <c r="Z3" s="71" t="s">
        <v>594</v>
      </c>
      <c r="AA3" s="71" t="s">
        <v>595</v>
      </c>
      <c r="AB3" s="72" t="s">
        <v>464</v>
      </c>
      <c r="AC3" s="63" t="s">
        <v>302</v>
      </c>
      <c r="AD3" s="63" t="s">
        <v>53</v>
      </c>
      <c r="AE3" s="63" t="s">
        <v>115</v>
      </c>
      <c r="AF3" s="63" t="s">
        <v>116</v>
      </c>
      <c r="AG3" s="63" t="s">
        <v>282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mecanismos de seguimiento y control de la actividad pesquera y de la acuicultura.</v>
      </c>
      <c r="AP3" s="78" t="s">
        <v>34</v>
      </c>
      <c r="AQ3" s="78"/>
      <c r="AR3" s="79"/>
      <c r="AS3" s="78" t="str">
        <f t="array" ref="AS3:AV3">INDEX(R_ObjEsp__Prod,MATCH(H3,L_ObjEsp,0))</f>
        <v>Servicio de divulgación y socialización</v>
      </c>
      <c r="AT3" s="80"/>
      <c r="AU3" s="80"/>
      <c r="AV3" s="80"/>
      <c r="AW3" s="80"/>
      <c r="AX3" s="79"/>
      <c r="AY3" s="78" t="str">
        <f t="array" ref="AY3:BD3">INDEX(R_Pro__Act,MATCH(I3,L_Prod,0))</f>
        <v>Implementar las estrategias de socialización y Divulgación a la comunidad</v>
      </c>
      <c r="AZ3" s="80" t="s">
        <v>71</v>
      </c>
      <c r="BA3" s="80" t="s">
        <v>72</v>
      </c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120</v>
      </c>
      <c r="D4" s="64" t="s">
        <v>210</v>
      </c>
      <c r="E4" s="64" t="s">
        <v>30</v>
      </c>
      <c r="F4" s="65">
        <f>IF(ISBLANK(E4),"",VLOOKUP(E4,R_Inf_Proy,2,0))</f>
        <v>2019011000276</v>
      </c>
      <c r="G4" s="65" t="str">
        <f>IF(ISBLANK(E4),"",VLOOKUP(E4,R_Inf_Proy,3,0))</f>
        <v>Inspección</v>
      </c>
      <c r="H4" s="66" t="s">
        <v>33</v>
      </c>
      <c r="I4" s="66" t="s">
        <v>35</v>
      </c>
      <c r="J4" s="66" t="s">
        <v>40</v>
      </c>
      <c r="K4" s="66" t="s">
        <v>82</v>
      </c>
      <c r="L4" s="67" t="s">
        <v>60</v>
      </c>
      <c r="M4" s="67" t="s">
        <v>61</v>
      </c>
      <c r="N4" s="67" t="s">
        <v>596</v>
      </c>
      <c r="O4" s="68">
        <v>157.0</v>
      </c>
      <c r="P4" s="109">
        <v>625.0</v>
      </c>
      <c r="Q4" s="70" t="s">
        <v>597</v>
      </c>
      <c r="R4" s="71" t="s">
        <v>598</v>
      </c>
      <c r="S4" s="71" t="s">
        <v>137</v>
      </c>
      <c r="T4" s="109">
        <v>119.0</v>
      </c>
      <c r="U4" s="109">
        <v>188.0</v>
      </c>
      <c r="V4" s="109">
        <v>160.0</v>
      </c>
      <c r="W4" s="109">
        <v>158.0</v>
      </c>
      <c r="X4" s="70" t="s">
        <v>210</v>
      </c>
      <c r="Y4" s="71" t="s">
        <v>593</v>
      </c>
      <c r="Z4" s="71" t="s">
        <v>594</v>
      </c>
      <c r="AA4" s="71" t="s">
        <v>595</v>
      </c>
      <c r="AB4" s="72" t="s">
        <v>464</v>
      </c>
      <c r="AC4" s="63" t="s">
        <v>302</v>
      </c>
      <c r="AD4" s="63" t="s">
        <v>53</v>
      </c>
      <c r="AE4" s="63" t="s">
        <v>115</v>
      </c>
      <c r="AF4" s="63" t="s">
        <v>116</v>
      </c>
      <c r="AG4" s="63" t="s">
        <v>282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mecanismos de seguimiento y control de la actividad pesquera y de la acuicultura.</v>
      </c>
      <c r="AP4" s="78" t="s">
        <v>34</v>
      </c>
      <c r="AQ4" s="78"/>
      <c r="AR4" s="79"/>
      <c r="AS4" s="78" t="str">
        <f t="array" ref="AS4:AV4">INDEX(R_ObjEsp__Prod,MATCH(H4,L_ObjEsp,0))</f>
        <v>Servicio de inspección, vigilancia y control de la pesca y la acuicultura</v>
      </c>
      <c r="AT4" s="80"/>
      <c r="AU4" s="80"/>
      <c r="AV4" s="80"/>
      <c r="AW4" s="80"/>
      <c r="AX4" s="79"/>
      <c r="AY4" s="78" t="str">
        <f t="array" ref="AY4:BD4">INDEX(R_Pro__Act,MATCH(I4,L_Prod,0))</f>
        <v>Realizar seguimiento y actualización al registro general de pesca.</v>
      </c>
      <c r="AZ4" s="80" t="s">
        <v>37</v>
      </c>
      <c r="BA4" s="80" t="s">
        <v>38</v>
      </c>
      <c r="BB4" s="80" t="s">
        <v>39</v>
      </c>
      <c r="BC4" s="80" t="s">
        <v>40</v>
      </c>
      <c r="BD4" s="80" t="s">
        <v>41</v>
      </c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120</v>
      </c>
      <c r="D5" s="64" t="s">
        <v>210</v>
      </c>
      <c r="E5" s="64" t="s">
        <v>30</v>
      </c>
      <c r="F5" s="65">
        <f>IF(ISBLANK(E5),"",VLOOKUP(E5,R_Inf_Proy,2,0))</f>
        <v>2019011000276</v>
      </c>
      <c r="G5" s="65" t="str">
        <f>IF(ISBLANK(E5),"",VLOOKUP(E5,R_Inf_Proy,3,0))</f>
        <v>Inspección</v>
      </c>
      <c r="H5" s="66" t="s">
        <v>33</v>
      </c>
      <c r="I5" s="66" t="s">
        <v>35</v>
      </c>
      <c r="J5" s="66" t="s">
        <v>41</v>
      </c>
      <c r="K5" s="66" t="s">
        <v>112</v>
      </c>
      <c r="L5" s="67" t="s">
        <v>60</v>
      </c>
      <c r="M5" s="67" t="s">
        <v>61</v>
      </c>
      <c r="N5" s="67" t="s">
        <v>599</v>
      </c>
      <c r="O5" s="81"/>
      <c r="P5" s="109">
        <v>7.0</v>
      </c>
      <c r="Q5" s="70" t="s">
        <v>600</v>
      </c>
      <c r="R5" s="71" t="s">
        <v>601</v>
      </c>
      <c r="S5" s="71" t="s">
        <v>44</v>
      </c>
      <c r="T5" s="109">
        <v>0.0</v>
      </c>
      <c r="U5" s="109">
        <v>0.0</v>
      </c>
      <c r="V5" s="109">
        <v>0.0</v>
      </c>
      <c r="W5" s="109">
        <v>7.0</v>
      </c>
      <c r="X5" s="70" t="s">
        <v>210</v>
      </c>
      <c r="Y5" s="71" t="s">
        <v>593</v>
      </c>
      <c r="Z5" s="71" t="s">
        <v>594</v>
      </c>
      <c r="AA5" s="71" t="s">
        <v>595</v>
      </c>
      <c r="AB5" s="72" t="s">
        <v>464</v>
      </c>
      <c r="AC5" s="63" t="s">
        <v>302</v>
      </c>
      <c r="AD5" s="63" t="s">
        <v>53</v>
      </c>
      <c r="AE5" s="63" t="s">
        <v>115</v>
      </c>
      <c r="AF5" s="63" t="s">
        <v>116</v>
      </c>
      <c r="AG5" s="63" t="s">
        <v>282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mecanismos de seguimiento y control de la actividad pesquera y de la acuicultura.</v>
      </c>
      <c r="AP5" s="78" t="s">
        <v>34</v>
      </c>
      <c r="AQ5" s="78"/>
      <c r="AR5" s="79"/>
      <c r="AS5" s="78" t="str">
        <f t="array" ref="AS5:AV5">INDEX(R_ObjEsp__Prod,MATCH(H5,L_ObjEsp,0))</f>
        <v>Servicio de inspección, vigilancia y control de la pesca y la acuicultura</v>
      </c>
      <c r="AT5" s="80"/>
      <c r="AU5" s="80"/>
      <c r="AV5" s="80"/>
      <c r="AW5" s="80"/>
      <c r="AX5" s="79"/>
      <c r="AY5" s="78" t="str">
        <f t="array" ref="AY5:BD5">INDEX(R_Pro__Act,MATCH(I5,L_Prod,0))</f>
        <v>Realizar seguimiento y actualización al registro general de pesca.</v>
      </c>
      <c r="AZ5" s="80" t="s">
        <v>37</v>
      </c>
      <c r="BA5" s="80" t="s">
        <v>38</v>
      </c>
      <c r="BB5" s="80" t="s">
        <v>39</v>
      </c>
      <c r="BC5" s="80" t="s">
        <v>40</v>
      </c>
      <c r="BD5" s="80" t="s">
        <v>41</v>
      </c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120</v>
      </c>
      <c r="D6" s="64" t="s">
        <v>210</v>
      </c>
      <c r="E6" s="64" t="s">
        <v>30</v>
      </c>
      <c r="F6" s="65">
        <f>IF(ISBLANK(E6),"",VLOOKUP(E6,R_Inf_Proy,2,0))</f>
        <v>2019011000276</v>
      </c>
      <c r="G6" s="65" t="str">
        <f>IF(ISBLANK(E6),"",VLOOKUP(E6,R_Inf_Proy,3,0))</f>
        <v>Inspección</v>
      </c>
      <c r="H6" s="66" t="s">
        <v>33</v>
      </c>
      <c r="I6" s="66" t="s">
        <v>35</v>
      </c>
      <c r="J6" s="66" t="s">
        <v>39</v>
      </c>
      <c r="K6" s="66" t="s">
        <v>112</v>
      </c>
      <c r="L6" s="67" t="s">
        <v>60</v>
      </c>
      <c r="M6" s="67" t="s">
        <v>61</v>
      </c>
      <c r="N6" s="67" t="s">
        <v>602</v>
      </c>
      <c r="O6" s="81"/>
      <c r="P6" s="109">
        <v>1.0</v>
      </c>
      <c r="Q6" s="70" t="s">
        <v>603</v>
      </c>
      <c r="R6" s="71" t="s">
        <v>604</v>
      </c>
      <c r="S6" s="71" t="s">
        <v>44</v>
      </c>
      <c r="T6" s="109">
        <v>0.0</v>
      </c>
      <c r="U6" s="109">
        <v>0.0</v>
      </c>
      <c r="V6" s="109">
        <v>0.0</v>
      </c>
      <c r="W6" s="109">
        <v>1.0</v>
      </c>
      <c r="X6" s="70" t="s">
        <v>210</v>
      </c>
      <c r="Y6" s="71" t="s">
        <v>593</v>
      </c>
      <c r="Z6" s="71" t="s">
        <v>594</v>
      </c>
      <c r="AA6" s="71" t="s">
        <v>595</v>
      </c>
      <c r="AB6" s="72" t="s">
        <v>464</v>
      </c>
      <c r="AC6" s="63" t="s">
        <v>302</v>
      </c>
      <c r="AD6" s="63" t="s">
        <v>53</v>
      </c>
      <c r="AE6" s="63" t="s">
        <v>115</v>
      </c>
      <c r="AF6" s="63" t="s">
        <v>116</v>
      </c>
      <c r="AG6" s="63" t="s">
        <v>282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mecanismos de seguimiento y control de la actividad pesquera y de la acuicultura.</v>
      </c>
      <c r="AP6" s="78" t="s">
        <v>34</v>
      </c>
      <c r="AQ6" s="78"/>
      <c r="AR6" s="79"/>
      <c r="AS6" s="78" t="str">
        <f t="array" ref="AS6:AV6">INDEX(R_ObjEsp__Prod,MATCH(H6,L_ObjEsp,0))</f>
        <v>Servicio de inspección, vigilancia y control de la pesca y la acuicultura</v>
      </c>
      <c r="AT6" s="80"/>
      <c r="AU6" s="80"/>
      <c r="AV6" s="80"/>
      <c r="AW6" s="80"/>
      <c r="AX6" s="79"/>
      <c r="AY6" s="78" t="str">
        <f t="array" ref="AY6:BD6">INDEX(R_Pro__Act,MATCH(I6,L_Prod,0))</f>
        <v>Realizar seguimiento y actualización al registro general de pesca.</v>
      </c>
      <c r="AZ6" s="80" t="s">
        <v>37</v>
      </c>
      <c r="BA6" s="80" t="s">
        <v>38</v>
      </c>
      <c r="BB6" s="80" t="s">
        <v>39</v>
      </c>
      <c r="BC6" s="80" t="s">
        <v>40</v>
      </c>
      <c r="BD6" s="80" t="s">
        <v>41</v>
      </c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120</v>
      </c>
      <c r="D7" s="64" t="s">
        <v>210</v>
      </c>
      <c r="E7" s="64" t="s">
        <v>30</v>
      </c>
      <c r="F7" s="65">
        <f>IF(ISBLANK(E7),"",VLOOKUP(E7,R_Inf_Proy,2,0))</f>
        <v>2019011000276</v>
      </c>
      <c r="G7" s="65" t="str">
        <f>IF(ISBLANK(E7),"",VLOOKUP(E7,R_Inf_Proy,3,0))</f>
        <v>Inspección</v>
      </c>
      <c r="H7" s="66" t="s">
        <v>33</v>
      </c>
      <c r="I7" s="66" t="s">
        <v>35</v>
      </c>
      <c r="J7" s="66" t="s">
        <v>36</v>
      </c>
      <c r="K7" s="66" t="s">
        <v>112</v>
      </c>
      <c r="L7" s="67" t="s">
        <v>60</v>
      </c>
      <c r="M7" s="67" t="s">
        <v>61</v>
      </c>
      <c r="N7" s="67" t="s">
        <v>605</v>
      </c>
      <c r="O7" s="81"/>
      <c r="P7" s="109">
        <v>12.0</v>
      </c>
      <c r="Q7" s="70" t="s">
        <v>606</v>
      </c>
      <c r="R7" s="71" t="s">
        <v>607</v>
      </c>
      <c r="S7" s="71" t="s">
        <v>179</v>
      </c>
      <c r="T7" s="109">
        <v>3.0</v>
      </c>
      <c r="U7" s="109">
        <v>3.0</v>
      </c>
      <c r="V7" s="109">
        <v>3.0</v>
      </c>
      <c r="W7" s="109">
        <v>3.0</v>
      </c>
      <c r="X7" s="70" t="s">
        <v>210</v>
      </c>
      <c r="Y7" s="71" t="s">
        <v>593</v>
      </c>
      <c r="Z7" s="71" t="s">
        <v>594</v>
      </c>
      <c r="AA7" s="71" t="s">
        <v>595</v>
      </c>
      <c r="AB7" s="72" t="s">
        <v>464</v>
      </c>
      <c r="AC7" s="63" t="s">
        <v>302</v>
      </c>
      <c r="AD7" s="63" t="s">
        <v>53</v>
      </c>
      <c r="AE7" s="63" t="s">
        <v>115</v>
      </c>
      <c r="AF7" s="63" t="s">
        <v>116</v>
      </c>
      <c r="AG7" s="63" t="s">
        <v>282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mecanismos de seguimiento y control de la actividad pesquera y de la acuicultura.</v>
      </c>
      <c r="AP7" s="78" t="s">
        <v>34</v>
      </c>
      <c r="AQ7" s="78"/>
      <c r="AR7" s="79"/>
      <c r="AS7" s="78" t="str">
        <f t="array" ref="AS7:AV7">INDEX(R_ObjEsp__Prod,MATCH(H7,L_ObjEsp,0))</f>
        <v>Servicio de inspección, vigilancia y control de la pesca y la acuicultura</v>
      </c>
      <c r="AT7" s="80"/>
      <c r="AU7" s="80"/>
      <c r="AV7" s="80"/>
      <c r="AW7" s="80"/>
      <c r="AX7" s="79"/>
      <c r="AY7" s="78" t="str">
        <f t="array" ref="AY7:BD7">INDEX(R_Pro__Act,MATCH(I7,L_Prod,0))</f>
        <v>Realizar seguimiento y actualización al registro general de pesca.</v>
      </c>
      <c r="AZ7" s="80" t="s">
        <v>37</v>
      </c>
      <c r="BA7" s="80" t="s">
        <v>38</v>
      </c>
      <c r="BB7" s="80" t="s">
        <v>39</v>
      </c>
      <c r="BC7" s="80" t="s">
        <v>40</v>
      </c>
      <c r="BD7" s="80" t="s">
        <v>41</v>
      </c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120</v>
      </c>
      <c r="D8" s="64" t="s">
        <v>210</v>
      </c>
      <c r="E8" s="64" t="s">
        <v>95</v>
      </c>
      <c r="F8" s="65">
        <f>IF(ISBLANK(E8),"",VLOOKUP(E8,R_Inf_Proy,2,0))</f>
        <v>2019011000275</v>
      </c>
      <c r="G8" s="65" t="str">
        <f>IF(ISBLANK(E8),"",VLOOKUP(E8,R_Inf_Proy,3,0))</f>
        <v>Sepec</v>
      </c>
      <c r="H8" s="66" t="s">
        <v>98</v>
      </c>
      <c r="I8" s="66" t="s">
        <v>158</v>
      </c>
      <c r="J8" s="66" t="s">
        <v>221</v>
      </c>
      <c r="K8" s="66" t="s">
        <v>82</v>
      </c>
      <c r="L8" s="67" t="s">
        <v>60</v>
      </c>
      <c r="M8" s="67" t="s">
        <v>61</v>
      </c>
      <c r="N8" s="67" t="s">
        <v>608</v>
      </c>
      <c r="O8" s="68">
        <v>3.0</v>
      </c>
      <c r="P8" s="109">
        <v>4.0</v>
      </c>
      <c r="Q8" s="70" t="s">
        <v>609</v>
      </c>
      <c r="R8" s="71" t="s">
        <v>592</v>
      </c>
      <c r="S8" s="71" t="s">
        <v>137</v>
      </c>
      <c r="T8" s="109">
        <v>1.0</v>
      </c>
      <c r="U8" s="109">
        <v>1.0</v>
      </c>
      <c r="V8" s="109">
        <v>1.0</v>
      </c>
      <c r="W8" s="109">
        <v>1.0</v>
      </c>
      <c r="X8" s="70" t="s">
        <v>210</v>
      </c>
      <c r="Y8" s="71" t="s">
        <v>593</v>
      </c>
      <c r="Z8" s="71" t="s">
        <v>594</v>
      </c>
      <c r="AA8" s="71" t="s">
        <v>595</v>
      </c>
      <c r="AB8" s="72" t="s">
        <v>464</v>
      </c>
      <c r="AC8" s="63" t="s">
        <v>302</v>
      </c>
      <c r="AD8" s="63" t="s">
        <v>53</v>
      </c>
      <c r="AE8" s="63" t="s">
        <v>115</v>
      </c>
      <c r="AF8" s="63" t="s">
        <v>116</v>
      </c>
      <c r="AG8" s="63" t="s">
        <v>282</v>
      </c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mecanismos de recolección y análisis de la información estadística de la actividad pesquera y de la acuicultura.</v>
      </c>
      <c r="AP8" s="78" t="s">
        <v>99</v>
      </c>
      <c r="AQ8" s="78"/>
      <c r="AR8" s="79"/>
      <c r="AS8" s="78" t="str">
        <f t="array" ref="AS8:AV8">INDEX(R_ObjEsp__Prod,MATCH(H8,L_ObjEsp,0))</f>
        <v>_Servicio de análisis de Información para la planificación pesquera y de la acuicultura</v>
      </c>
      <c r="AT8" s="80" t="s">
        <v>159</v>
      </c>
      <c r="AU8" s="80"/>
      <c r="AV8" s="80"/>
      <c r="AW8" s="80"/>
      <c r="AX8" s="79"/>
      <c r="AY8" s="78" t="str">
        <f t="array" ref="AY8:BD8">INDEX(R_Pro__Act,MATCH(I8,L_Prod,0))</f>
        <v>Analizar la información de la caracterización socioeconómica de los pescadores y del personal de las granjas de acuicultura.</v>
      </c>
      <c r="AZ8" s="80" t="s">
        <v>221</v>
      </c>
      <c r="BA8" s="80" t="s">
        <v>222</v>
      </c>
      <c r="BB8" s="80" t="s">
        <v>223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120</v>
      </c>
      <c r="D9" s="64" t="s">
        <v>210</v>
      </c>
      <c r="E9" s="64" t="s">
        <v>30</v>
      </c>
      <c r="F9" s="65">
        <f>IF(ISBLANK(E9),"",VLOOKUP(E9,R_Inf_Proy,2,0))</f>
        <v>2019011000276</v>
      </c>
      <c r="G9" s="65" t="str">
        <f>IF(ISBLANK(E9),"",VLOOKUP(E9,R_Inf_Proy,3,0))</f>
        <v>Inspección</v>
      </c>
      <c r="H9" s="66" t="s">
        <v>33</v>
      </c>
      <c r="I9" s="66" t="s">
        <v>35</v>
      </c>
      <c r="J9" s="66" t="s">
        <v>41</v>
      </c>
      <c r="K9" s="66" t="s">
        <v>112</v>
      </c>
      <c r="L9" s="67" t="s">
        <v>60</v>
      </c>
      <c r="M9" s="67" t="s">
        <v>61</v>
      </c>
      <c r="N9" s="67" t="s">
        <v>610</v>
      </c>
      <c r="O9" s="84"/>
      <c r="P9" s="109">
        <v>18.0</v>
      </c>
      <c r="Q9" s="70" t="s">
        <v>611</v>
      </c>
      <c r="R9" s="71" t="s">
        <v>612</v>
      </c>
      <c r="S9" s="71" t="s">
        <v>179</v>
      </c>
      <c r="T9" s="109">
        <v>6.0</v>
      </c>
      <c r="U9" s="109">
        <v>4.0</v>
      </c>
      <c r="V9" s="109">
        <v>5.0</v>
      </c>
      <c r="W9" s="109">
        <v>3.0</v>
      </c>
      <c r="X9" s="70" t="s">
        <v>210</v>
      </c>
      <c r="Y9" s="71" t="s">
        <v>593</v>
      </c>
      <c r="Z9" s="71" t="s">
        <v>594</v>
      </c>
      <c r="AA9" s="71" t="s">
        <v>595</v>
      </c>
      <c r="AB9" s="72" t="s">
        <v>464</v>
      </c>
      <c r="AC9" s="63" t="s">
        <v>302</v>
      </c>
      <c r="AD9" s="63" t="s">
        <v>53</v>
      </c>
      <c r="AE9" s="63" t="s">
        <v>115</v>
      </c>
      <c r="AF9" s="63" t="s">
        <v>116</v>
      </c>
      <c r="AG9" s="63" t="s">
        <v>282</v>
      </c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mecanismos de seguimiento y control de la actividad pesquera y de la acuicultura.</v>
      </c>
      <c r="AP9" s="78" t="s">
        <v>34</v>
      </c>
      <c r="AQ9" s="78"/>
      <c r="AR9" s="79"/>
      <c r="AS9" s="78" t="str">
        <f t="array" ref="AS9:AV9">INDEX(R_ObjEsp__Prod,MATCH(H9,L_ObjEsp,0))</f>
        <v>Servicio de inspección, vigilancia y control de la pesca y la acuicultura</v>
      </c>
      <c r="AT9" s="80"/>
      <c r="AU9" s="80"/>
      <c r="AV9" s="80"/>
      <c r="AW9" s="80"/>
      <c r="AX9" s="79"/>
      <c r="AY9" s="78" t="str">
        <f t="array" ref="AY9:BD9">INDEX(R_Pro__Act,MATCH(I9,L_Prod,0))</f>
        <v>Realizar seguimiento y actualización al registro general de pesca.</v>
      </c>
      <c r="AZ9" s="80" t="s">
        <v>37</v>
      </c>
      <c r="BA9" s="80" t="s">
        <v>38</v>
      </c>
      <c r="BB9" s="80" t="s">
        <v>39</v>
      </c>
      <c r="BC9" s="80" t="s">
        <v>40</v>
      </c>
      <c r="BD9" s="80" t="s">
        <v>41</v>
      </c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/>
      <c r="G10" s="65"/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:P4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114">
        <v>1.0</v>
      </c>
      <c r="C3" s="63" t="s">
        <v>305</v>
      </c>
      <c r="D3" s="64" t="s">
        <v>226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60</v>
      </c>
      <c r="M3" s="67" t="s">
        <v>61</v>
      </c>
      <c r="N3" s="67" t="s">
        <v>613</v>
      </c>
      <c r="O3" s="81"/>
      <c r="P3" s="109">
        <v>12.0</v>
      </c>
      <c r="Q3" s="70" t="s">
        <v>614</v>
      </c>
      <c r="R3" s="71"/>
      <c r="S3" s="71" t="s">
        <v>179</v>
      </c>
      <c r="T3" s="109">
        <v>3.0</v>
      </c>
      <c r="U3" s="109">
        <v>3.0</v>
      </c>
      <c r="V3" s="109">
        <v>3.0</v>
      </c>
      <c r="W3" s="109">
        <v>3.0</v>
      </c>
      <c r="X3" s="70" t="s">
        <v>226</v>
      </c>
      <c r="Y3" s="71" t="s">
        <v>615</v>
      </c>
      <c r="Z3" s="71" t="s">
        <v>616</v>
      </c>
      <c r="AA3" s="71" t="s">
        <v>617</v>
      </c>
      <c r="AB3" s="72" t="s">
        <v>464</v>
      </c>
      <c r="AC3" s="63" t="s">
        <v>231</v>
      </c>
      <c r="AD3" s="63" t="s">
        <v>84</v>
      </c>
      <c r="AE3" s="63" t="s">
        <v>169</v>
      </c>
      <c r="AF3" s="63" t="s">
        <v>339</v>
      </c>
      <c r="AG3" s="63" t="s">
        <v>322</v>
      </c>
      <c r="AH3" s="63"/>
      <c r="AI3" s="73"/>
      <c r="AJ3" s="73"/>
      <c r="AK3" s="74"/>
      <c r="AL3" s="118">
        <v>44562.0</v>
      </c>
      <c r="AM3" s="76" t="str">
        <f t="shared" ref="AM3:AM4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114">
        <v>2.0</v>
      </c>
      <c r="C4" s="63" t="s">
        <v>305</v>
      </c>
      <c r="D4" s="64" t="s">
        <v>226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60</v>
      </c>
      <c r="M4" s="67" t="s">
        <v>61</v>
      </c>
      <c r="N4" s="67" t="s">
        <v>618</v>
      </c>
      <c r="O4" s="81"/>
      <c r="P4" s="109">
        <v>12.0</v>
      </c>
      <c r="Q4" s="70" t="s">
        <v>619</v>
      </c>
      <c r="R4" s="71"/>
      <c r="S4" s="71" t="s">
        <v>179</v>
      </c>
      <c r="T4" s="109">
        <v>3.0</v>
      </c>
      <c r="U4" s="109">
        <v>3.0</v>
      </c>
      <c r="V4" s="109">
        <v>3.0</v>
      </c>
      <c r="W4" s="109">
        <v>3.0</v>
      </c>
      <c r="X4" s="70" t="s">
        <v>226</v>
      </c>
      <c r="Y4" s="71" t="s">
        <v>615</v>
      </c>
      <c r="Z4" s="71" t="s">
        <v>616</v>
      </c>
      <c r="AA4" s="71" t="s">
        <v>617</v>
      </c>
      <c r="AB4" s="72" t="s">
        <v>464</v>
      </c>
      <c r="AC4" s="63" t="s">
        <v>231</v>
      </c>
      <c r="AD4" s="63" t="s">
        <v>84</v>
      </c>
      <c r="AE4" s="63" t="s">
        <v>169</v>
      </c>
      <c r="AF4" s="63" t="s">
        <v>216</v>
      </c>
      <c r="AG4" s="63" t="s">
        <v>322</v>
      </c>
      <c r="AH4" s="63"/>
      <c r="AI4" s="73"/>
      <c r="AJ4" s="73"/>
      <c r="AK4" s="74"/>
      <c r="AL4" s="118">
        <v>44562.0</v>
      </c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/>
      <c r="C5" s="63"/>
      <c r="D5" s="64"/>
      <c r="E5" s="64"/>
      <c r="F5" s="65"/>
      <c r="G5" s="65"/>
      <c r="H5" s="66"/>
      <c r="I5" s="66"/>
      <c r="J5" s="66"/>
      <c r="K5" s="66"/>
      <c r="L5" s="67"/>
      <c r="M5" s="67"/>
      <c r="N5" s="67"/>
      <c r="O5" s="81"/>
      <c r="P5" s="109"/>
      <c r="Q5" s="70"/>
      <c r="R5" s="71"/>
      <c r="S5" s="71"/>
      <c r="T5" s="109"/>
      <c r="U5" s="109"/>
      <c r="V5" s="109"/>
      <c r="W5" s="109"/>
      <c r="X5" s="70"/>
      <c r="Y5" s="71"/>
      <c r="Z5" s="71"/>
      <c r="AA5" s="71"/>
      <c r="AB5" s="72"/>
      <c r="AC5" s="63"/>
      <c r="AD5" s="63"/>
      <c r="AE5" s="63"/>
      <c r="AF5" s="63"/>
      <c r="AG5" s="63"/>
      <c r="AH5" s="63"/>
      <c r="AI5" s="73"/>
      <c r="AJ5" s="73"/>
      <c r="AK5" s="74"/>
      <c r="AL5" s="75"/>
      <c r="AM5" s="76"/>
      <c r="AO5" s="77"/>
      <c r="AP5" s="78"/>
      <c r="AQ5" s="78"/>
      <c r="AR5" s="79"/>
      <c r="AS5" s="78"/>
      <c r="AT5" s="80"/>
      <c r="AU5" s="80"/>
      <c r="AV5" s="80"/>
      <c r="AW5" s="80"/>
      <c r="AX5" s="79"/>
      <c r="AY5" s="78"/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/>
      <c r="D6" s="64"/>
      <c r="E6" s="64"/>
      <c r="F6" s="65" t="str">
        <f>IF(ISBLANK(E6),"",VLOOKUP(E6,R_Inf_Proy,2,0))</f>
        <v/>
      </c>
      <c r="G6" s="65" t="str">
        <f>IF(ISBLANK(E6),"",VLOOKUP(E6,R_Inf_Proy,3,0))</f>
        <v/>
      </c>
      <c r="H6" s="66"/>
      <c r="I6" s="66"/>
      <c r="J6" s="66"/>
      <c r="K6" s="66"/>
      <c r="L6" s="67"/>
      <c r="M6" s="67"/>
      <c r="N6" s="67"/>
      <c r="O6" s="81"/>
      <c r="P6" s="69"/>
      <c r="Q6" s="70"/>
      <c r="R6" s="71"/>
      <c r="S6" s="71"/>
      <c r="T6" s="69"/>
      <c r="U6" s="69"/>
      <c r="V6" s="69"/>
      <c r="W6" s="69"/>
      <c r="X6" s="70"/>
      <c r="Y6" s="71"/>
      <c r="Z6" s="71"/>
      <c r="AA6" s="71"/>
      <c r="AB6" s="72"/>
      <c r="AC6" s="63"/>
      <c r="AD6" s="63"/>
      <c r="AE6" s="63"/>
      <c r="AF6" s="63"/>
      <c r="AG6" s="63"/>
      <c r="AH6" s="63"/>
      <c r="AI6" s="73"/>
      <c r="AJ6" s="73"/>
      <c r="AK6" s="74"/>
      <c r="AL6" s="75"/>
      <c r="AM6" s="76" t="str">
        <f t="shared" ref="AM6:AM101" si="2">IF(K6="PRODUCTO",VLOOKUP(I6,#REF!,6,0),IF(K6="GESTIÓN",VLOOKUP(E6,#REF!,14,0),""))</f>
        <v/>
      </c>
      <c r="AO6" s="77" t="str">
        <f t="array" ref="AO6">INDEX(R_Proy__ObjEsp,MATCH(E6,L_Proy,0))</f>
        <v>#N/A</v>
      </c>
      <c r="AP6" s="78"/>
      <c r="AQ6" s="78"/>
      <c r="AR6" s="79"/>
      <c r="AS6" s="78" t="str">
        <f t="array" ref="AS6">INDEX(R_ObjEsp__Prod,MATCH(H6,L_ObjEsp,0))</f>
        <v>#N/A</v>
      </c>
      <c r="AT6" s="80"/>
      <c r="AU6" s="80"/>
      <c r="AV6" s="80"/>
      <c r="AW6" s="80"/>
      <c r="AX6" s="79"/>
      <c r="AY6" s="78" t="str">
        <f t="array" ref="AY6">INDEX(R_Pro__Act,MATCH(I6,L_Prod,0))</f>
        <v>#N/A</v>
      </c>
      <c r="AZ6" s="80"/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/>
      <c r="D7" s="64"/>
      <c r="E7" s="64"/>
      <c r="F7" s="65" t="str">
        <f>IF(ISBLANK(E7),"",VLOOKUP(E7,R_Inf_Proy,2,0))</f>
        <v/>
      </c>
      <c r="G7" s="65" t="str">
        <f>IF(ISBLANK(E7),"",VLOOKUP(E7,R_Inf_Proy,3,0))</f>
        <v/>
      </c>
      <c r="H7" s="66"/>
      <c r="I7" s="66"/>
      <c r="J7" s="66"/>
      <c r="K7" s="66"/>
      <c r="L7" s="67"/>
      <c r="M7" s="67"/>
      <c r="N7" s="67"/>
      <c r="O7" s="81"/>
      <c r="P7" s="69"/>
      <c r="Q7" s="70"/>
      <c r="R7" s="83"/>
      <c r="S7" s="71"/>
      <c r="T7" s="69"/>
      <c r="U7" s="69"/>
      <c r="V7" s="69"/>
      <c r="W7" s="69"/>
      <c r="X7" s="70"/>
      <c r="Y7" s="71"/>
      <c r="Z7" s="71"/>
      <c r="AA7" s="71"/>
      <c r="AB7" s="72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2"/>
        <v/>
      </c>
      <c r="AO7" s="77" t="str">
        <f t="array" ref="AO7">INDEX(R_Proy__ObjEsp,MATCH(E7,L_Proy,0))</f>
        <v>#N/A</v>
      </c>
      <c r="AP7" s="78"/>
      <c r="AQ7" s="78"/>
      <c r="AR7" s="79"/>
      <c r="AS7" s="78" t="str">
        <f t="array" ref="AS7">INDEX(R_ObjEsp__Prod,MATCH(H7,L_ObjEsp,0))</f>
        <v>#N/A</v>
      </c>
      <c r="AT7" s="80"/>
      <c r="AU7" s="80"/>
      <c r="AV7" s="80"/>
      <c r="AW7" s="80"/>
      <c r="AX7" s="79"/>
      <c r="AY7" s="78" t="str">
        <f t="array" ref="AY7">INDEX(R_Pro__Act,MATCH(I7,L_Prod,0))</f>
        <v>#N/A</v>
      </c>
      <c r="AZ7" s="80"/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2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2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2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2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2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2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2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2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2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2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2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2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2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2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2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2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2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2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2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2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2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2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2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2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2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2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2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2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2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2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2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2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2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2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2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2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2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2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2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2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2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2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2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2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2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2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2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2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2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2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2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2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2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2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2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2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2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2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2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2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2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2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2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2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2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2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2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2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2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2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2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2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2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2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2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2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2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2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2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2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2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2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2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2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2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2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2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2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2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2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2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2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2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2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3:P100 P102">
    <cfRule type="expression" dxfId="0" priority="2">
      <formula>SUM(T3:W3)&lt;&gt;P3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251</v>
      </c>
      <c r="D3" s="64" t="s">
        <v>188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242</v>
      </c>
      <c r="J3" s="66" t="s">
        <v>325</v>
      </c>
      <c r="K3" s="66" t="s">
        <v>112</v>
      </c>
      <c r="L3" s="67" t="s">
        <v>60</v>
      </c>
      <c r="M3" s="67" t="s">
        <v>61</v>
      </c>
      <c r="N3" s="67" t="s">
        <v>620</v>
      </c>
      <c r="O3" s="68"/>
      <c r="P3" s="109">
        <v>2.0</v>
      </c>
      <c r="Q3" s="70" t="s">
        <v>621</v>
      </c>
      <c r="R3" s="71" t="s">
        <v>622</v>
      </c>
      <c r="S3" s="71" t="s">
        <v>75</v>
      </c>
      <c r="T3" s="109">
        <v>0.0</v>
      </c>
      <c r="U3" s="109">
        <v>1.0</v>
      </c>
      <c r="V3" s="109">
        <v>0.0</v>
      </c>
      <c r="W3" s="109">
        <v>1.0</v>
      </c>
      <c r="X3" s="70" t="s">
        <v>188</v>
      </c>
      <c r="Y3" s="71" t="s">
        <v>457</v>
      </c>
      <c r="Z3" s="71" t="s">
        <v>623</v>
      </c>
      <c r="AA3" s="71" t="s">
        <v>459</v>
      </c>
      <c r="AB3" s="72" t="s">
        <v>624</v>
      </c>
      <c r="AC3" s="63" t="s">
        <v>52</v>
      </c>
      <c r="AD3" s="63" t="s">
        <v>84</v>
      </c>
      <c r="AE3" s="63" t="s">
        <v>169</v>
      </c>
      <c r="AF3" s="63" t="s">
        <v>188</v>
      </c>
      <c r="AG3" s="63" t="s">
        <v>322</v>
      </c>
      <c r="AH3" s="63" t="s">
        <v>252</v>
      </c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Actualizar y mantener el Sistema de Gestión Documental</v>
      </c>
      <c r="AZ3" s="80"/>
      <c r="BA3" s="80"/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251</v>
      </c>
      <c r="D4" s="64" t="s">
        <v>188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242</v>
      </c>
      <c r="J4" s="66" t="s">
        <v>325</v>
      </c>
      <c r="K4" s="66" t="s">
        <v>112</v>
      </c>
      <c r="L4" s="67" t="s">
        <v>60</v>
      </c>
      <c r="M4" s="67" t="s">
        <v>61</v>
      </c>
      <c r="N4" s="67" t="s">
        <v>620</v>
      </c>
      <c r="O4" s="81"/>
      <c r="P4" s="109">
        <v>2.0</v>
      </c>
      <c r="Q4" s="70" t="s">
        <v>625</v>
      </c>
      <c r="R4" s="71" t="s">
        <v>626</v>
      </c>
      <c r="S4" s="71" t="s">
        <v>75</v>
      </c>
      <c r="T4" s="109">
        <v>0.0</v>
      </c>
      <c r="U4" s="109">
        <v>1.0</v>
      </c>
      <c r="V4" s="109">
        <v>0.0</v>
      </c>
      <c r="W4" s="109">
        <v>1.0</v>
      </c>
      <c r="X4" s="70" t="s">
        <v>188</v>
      </c>
      <c r="Y4" s="71" t="s">
        <v>457</v>
      </c>
      <c r="Z4" s="71" t="s">
        <v>623</v>
      </c>
      <c r="AA4" s="71" t="s">
        <v>459</v>
      </c>
      <c r="AB4" s="72" t="s">
        <v>624</v>
      </c>
      <c r="AC4" s="63" t="s">
        <v>52</v>
      </c>
      <c r="AD4" s="63" t="s">
        <v>84</v>
      </c>
      <c r="AE4" s="63" t="s">
        <v>169</v>
      </c>
      <c r="AF4" s="63" t="s">
        <v>188</v>
      </c>
      <c r="AG4" s="63" t="s">
        <v>322</v>
      </c>
      <c r="AH4" s="63" t="s">
        <v>252</v>
      </c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Actualizar y mantener el Sistema de Gestión Documental</v>
      </c>
      <c r="AZ4" s="80"/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251</v>
      </c>
      <c r="D5" s="64" t="s">
        <v>188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242</v>
      </c>
      <c r="J5" s="66" t="s">
        <v>325</v>
      </c>
      <c r="K5" s="66" t="s">
        <v>112</v>
      </c>
      <c r="L5" s="67" t="s">
        <v>60</v>
      </c>
      <c r="M5" s="67" t="s">
        <v>61</v>
      </c>
      <c r="N5" s="67" t="s">
        <v>620</v>
      </c>
      <c r="O5" s="81"/>
      <c r="P5" s="109">
        <v>4.0</v>
      </c>
      <c r="Q5" s="70" t="s">
        <v>627</v>
      </c>
      <c r="R5" s="71" t="s">
        <v>628</v>
      </c>
      <c r="S5" s="71" t="s">
        <v>137</v>
      </c>
      <c r="T5" s="109">
        <v>1.0</v>
      </c>
      <c r="U5" s="109">
        <v>1.0</v>
      </c>
      <c r="V5" s="109">
        <v>1.0</v>
      </c>
      <c r="W5" s="109">
        <v>1.0</v>
      </c>
      <c r="X5" s="70" t="s">
        <v>188</v>
      </c>
      <c r="Y5" s="71" t="s">
        <v>457</v>
      </c>
      <c r="Z5" s="71" t="s">
        <v>623</v>
      </c>
      <c r="AA5" s="71" t="s">
        <v>459</v>
      </c>
      <c r="AB5" s="72" t="s">
        <v>624</v>
      </c>
      <c r="AC5" s="63" t="s">
        <v>52</v>
      </c>
      <c r="AD5" s="63" t="s">
        <v>84</v>
      </c>
      <c r="AE5" s="63" t="s">
        <v>169</v>
      </c>
      <c r="AF5" s="63" t="s">
        <v>188</v>
      </c>
      <c r="AG5" s="63" t="s">
        <v>322</v>
      </c>
      <c r="AH5" s="63" t="s">
        <v>252</v>
      </c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Actualizar y mantener el Sistema de Gestión Documental</v>
      </c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/>
      <c r="D6" s="64"/>
      <c r="E6" s="64"/>
      <c r="F6" s="65" t="str">
        <f>IF(ISBLANK(E6),"",VLOOKUP(E6,R_Inf_Proy,2,0))</f>
        <v/>
      </c>
      <c r="G6" s="65" t="str">
        <f>IF(ISBLANK(E6),"",VLOOKUP(E6,R_Inf_Proy,3,0))</f>
        <v/>
      </c>
      <c r="H6" s="66"/>
      <c r="I6" s="66"/>
      <c r="J6" s="66"/>
      <c r="K6" s="66"/>
      <c r="L6" s="67"/>
      <c r="M6" s="67"/>
      <c r="N6" s="67"/>
      <c r="O6" s="81"/>
      <c r="P6" s="69"/>
      <c r="Q6" s="70"/>
      <c r="R6" s="71"/>
      <c r="S6" s="71"/>
      <c r="T6" s="69"/>
      <c r="U6" s="69"/>
      <c r="V6" s="69"/>
      <c r="W6" s="69"/>
      <c r="X6" s="70"/>
      <c r="Y6" s="71"/>
      <c r="Z6" s="71"/>
      <c r="AA6" s="71"/>
      <c r="AB6" s="72"/>
      <c r="AC6" s="63"/>
      <c r="AD6" s="63"/>
      <c r="AE6" s="63"/>
      <c r="AF6" s="63"/>
      <c r="AG6" s="63"/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">INDEX(R_Proy__ObjEsp,MATCH(E6,L_Proy,0))</f>
        <v>#N/A</v>
      </c>
      <c r="AP6" s="78"/>
      <c r="AQ6" s="78"/>
      <c r="AR6" s="79"/>
      <c r="AS6" s="78" t="str">
        <f t="array" ref="AS6">INDEX(R_ObjEsp__Prod,MATCH(H6,L_ObjEsp,0))</f>
        <v>#N/A</v>
      </c>
      <c r="AT6" s="80"/>
      <c r="AU6" s="80"/>
      <c r="AV6" s="80"/>
      <c r="AW6" s="80"/>
      <c r="AX6" s="79"/>
      <c r="AY6" s="78" t="str">
        <f t="array" ref="AY6">INDEX(R_Pro__Act,MATCH(I6,L_Prod,0))</f>
        <v>#N/A</v>
      </c>
      <c r="AZ6" s="80"/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/>
      <c r="D7" s="64"/>
      <c r="E7" s="64"/>
      <c r="F7" s="65" t="str">
        <f>IF(ISBLANK(E7),"",VLOOKUP(E7,R_Inf_Proy,2,0))</f>
        <v/>
      </c>
      <c r="G7" s="65" t="str">
        <f>IF(ISBLANK(E7),"",VLOOKUP(E7,R_Inf_Proy,3,0))</f>
        <v/>
      </c>
      <c r="H7" s="66"/>
      <c r="I7" s="66"/>
      <c r="J7" s="66"/>
      <c r="K7" s="66"/>
      <c r="L7" s="67"/>
      <c r="M7" s="67"/>
      <c r="N7" s="67"/>
      <c r="O7" s="81"/>
      <c r="P7" s="69"/>
      <c r="Q7" s="70"/>
      <c r="R7" s="83"/>
      <c r="S7" s="71"/>
      <c r="T7" s="69"/>
      <c r="U7" s="69"/>
      <c r="V7" s="69"/>
      <c r="W7" s="69"/>
      <c r="X7" s="70"/>
      <c r="Y7" s="71"/>
      <c r="Z7" s="71"/>
      <c r="AA7" s="71"/>
      <c r="AB7" s="72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">INDEX(R_Proy__ObjEsp,MATCH(E7,L_Proy,0))</f>
        <v>#N/A</v>
      </c>
      <c r="AP7" s="78"/>
      <c r="AQ7" s="78"/>
      <c r="AR7" s="79"/>
      <c r="AS7" s="78" t="str">
        <f t="array" ref="AS7">INDEX(R_ObjEsp__Prod,MATCH(H7,L_ObjEsp,0))</f>
        <v>#N/A</v>
      </c>
      <c r="AT7" s="80"/>
      <c r="AU7" s="80"/>
      <c r="AV7" s="80"/>
      <c r="AW7" s="80"/>
      <c r="AX7" s="79"/>
      <c r="AY7" s="78" t="str">
        <f t="array" ref="AY7">INDEX(R_Pro__Act,MATCH(I7,L_Prod,0))</f>
        <v>#N/A</v>
      </c>
      <c r="AZ7" s="80"/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283</v>
      </c>
      <c r="D3" s="64" t="s">
        <v>260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333</v>
      </c>
      <c r="K3" s="66" t="s">
        <v>112</v>
      </c>
      <c r="L3" s="67" t="s">
        <v>121</v>
      </c>
      <c r="M3" s="67" t="s">
        <v>92</v>
      </c>
      <c r="N3" s="67" t="s">
        <v>629</v>
      </c>
      <c r="O3" s="68"/>
      <c r="P3" s="69">
        <v>1.0</v>
      </c>
      <c r="Q3" s="70" t="s">
        <v>630</v>
      </c>
      <c r="R3" s="71"/>
      <c r="S3" s="71" t="s">
        <v>137</v>
      </c>
      <c r="T3" s="69">
        <v>1.0</v>
      </c>
      <c r="U3" s="69">
        <v>1.0</v>
      </c>
      <c r="V3" s="69">
        <v>1.0</v>
      </c>
      <c r="W3" s="69">
        <v>1.0</v>
      </c>
      <c r="X3" s="70" t="s">
        <v>631</v>
      </c>
      <c r="Y3" s="71" t="s">
        <v>632</v>
      </c>
      <c r="Z3" s="71" t="s">
        <v>633</v>
      </c>
      <c r="AA3" s="71" t="s">
        <v>634</v>
      </c>
      <c r="AB3" s="72" t="s">
        <v>464</v>
      </c>
      <c r="AC3" s="63" t="s">
        <v>302</v>
      </c>
      <c r="AD3" s="63" t="s">
        <v>114</v>
      </c>
      <c r="AE3" s="63" t="s">
        <v>115</v>
      </c>
      <c r="AF3" s="63" t="s">
        <v>86</v>
      </c>
      <c r="AG3" s="63" t="s">
        <v>322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283</v>
      </c>
      <c r="D4" s="64" t="s">
        <v>260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333</v>
      </c>
      <c r="K4" s="66" t="s">
        <v>112</v>
      </c>
      <c r="L4" s="67" t="s">
        <v>60</v>
      </c>
      <c r="M4" s="67" t="s">
        <v>92</v>
      </c>
      <c r="N4" s="67" t="s">
        <v>635</v>
      </c>
      <c r="O4" s="81"/>
      <c r="P4" s="69">
        <v>1.0</v>
      </c>
      <c r="Q4" s="70" t="s">
        <v>636</v>
      </c>
      <c r="R4" s="71"/>
      <c r="S4" s="71" t="s">
        <v>137</v>
      </c>
      <c r="T4" s="69">
        <v>1.0</v>
      </c>
      <c r="U4" s="69">
        <v>1.0</v>
      </c>
      <c r="V4" s="69">
        <v>1.0</v>
      </c>
      <c r="W4" s="69">
        <v>1.0</v>
      </c>
      <c r="X4" s="70" t="s">
        <v>631</v>
      </c>
      <c r="Y4" s="71" t="s">
        <v>632</v>
      </c>
      <c r="Z4" s="71" t="s">
        <v>633</v>
      </c>
      <c r="AA4" s="71" t="s">
        <v>634</v>
      </c>
      <c r="AB4" s="72" t="s">
        <v>464</v>
      </c>
      <c r="AC4" s="63" t="s">
        <v>302</v>
      </c>
      <c r="AD4" s="63" t="s">
        <v>53</v>
      </c>
      <c r="AE4" s="63" t="s">
        <v>115</v>
      </c>
      <c r="AF4" s="63" t="s">
        <v>86</v>
      </c>
      <c r="AG4" s="63" t="s">
        <v>322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283</v>
      </c>
      <c r="D5" s="64" t="s">
        <v>260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333</v>
      </c>
      <c r="K5" s="66" t="s">
        <v>112</v>
      </c>
      <c r="L5" s="67" t="s">
        <v>60</v>
      </c>
      <c r="M5" s="67" t="s">
        <v>92</v>
      </c>
      <c r="N5" s="67" t="s">
        <v>637</v>
      </c>
      <c r="O5" s="81"/>
      <c r="P5" s="69">
        <v>1.0</v>
      </c>
      <c r="Q5" s="70" t="s">
        <v>638</v>
      </c>
      <c r="R5" s="71"/>
      <c r="S5" s="71" t="s">
        <v>137</v>
      </c>
      <c r="T5" s="69">
        <v>1.0</v>
      </c>
      <c r="U5" s="69">
        <v>1.0</v>
      </c>
      <c r="V5" s="69">
        <v>1.0</v>
      </c>
      <c r="W5" s="69">
        <v>1.0</v>
      </c>
      <c r="X5" s="70" t="s">
        <v>631</v>
      </c>
      <c r="Y5" s="71" t="s">
        <v>632</v>
      </c>
      <c r="Z5" s="71" t="s">
        <v>633</v>
      </c>
      <c r="AA5" s="71" t="s">
        <v>634</v>
      </c>
      <c r="AB5" s="72" t="s">
        <v>464</v>
      </c>
      <c r="AC5" s="63" t="s">
        <v>302</v>
      </c>
      <c r="AD5" s="63" t="s">
        <v>114</v>
      </c>
      <c r="AE5" s="63" t="s">
        <v>115</v>
      </c>
      <c r="AF5" s="63" t="s">
        <v>86</v>
      </c>
      <c r="AG5" s="63" t="s">
        <v>322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283</v>
      </c>
      <c r="D6" s="64" t="s">
        <v>260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68</v>
      </c>
      <c r="I6" s="66" t="s">
        <v>135</v>
      </c>
      <c r="J6" s="66" t="s">
        <v>206</v>
      </c>
      <c r="K6" s="66" t="s">
        <v>112</v>
      </c>
      <c r="L6" s="67" t="s">
        <v>60</v>
      </c>
      <c r="M6" s="67" t="s">
        <v>92</v>
      </c>
      <c r="N6" s="67" t="s">
        <v>639</v>
      </c>
      <c r="O6" s="81"/>
      <c r="P6" s="69">
        <v>1.0</v>
      </c>
      <c r="Q6" s="70" t="s">
        <v>640</v>
      </c>
      <c r="R6" s="71"/>
      <c r="S6" s="71" t="s">
        <v>137</v>
      </c>
      <c r="T6" s="69">
        <v>1.0</v>
      </c>
      <c r="U6" s="69">
        <v>1.0</v>
      </c>
      <c r="V6" s="69">
        <v>1.0</v>
      </c>
      <c r="W6" s="69">
        <v>1.0</v>
      </c>
      <c r="X6" s="70" t="s">
        <v>631</v>
      </c>
      <c r="Y6" s="71" t="s">
        <v>632</v>
      </c>
      <c r="Z6" s="71" t="s">
        <v>633</v>
      </c>
      <c r="AA6" s="71" t="s">
        <v>634</v>
      </c>
      <c r="AB6" s="72" t="s">
        <v>464</v>
      </c>
      <c r="AC6" s="63" t="s">
        <v>302</v>
      </c>
      <c r="AD6" s="63" t="s">
        <v>114</v>
      </c>
      <c r="AE6" s="63" t="s">
        <v>115</v>
      </c>
      <c r="AF6" s="63" t="s">
        <v>86</v>
      </c>
      <c r="AG6" s="63" t="s">
        <v>322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1-Servicios de apoyo a las estaciones de acuicultura</v>
      </c>
      <c r="AT6" s="80" t="s">
        <v>133</v>
      </c>
      <c r="AU6" s="80" t="s">
        <v>134</v>
      </c>
      <c r="AV6" s="80" t="s">
        <v>135</v>
      </c>
      <c r="AW6" s="80"/>
      <c r="AX6" s="79"/>
      <c r="AY6" s="78" t="str">
        <f t="array" ref="AY6:BD6">INDEX(R_Pro__Act,MATCH(I6,L_Prod,0))</f>
        <v>Generar acciones de fomento para la pesca, la acuicultura y sus actividades conexas.</v>
      </c>
      <c r="AZ6" s="80" t="s">
        <v>207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283</v>
      </c>
      <c r="D7" s="64" t="s">
        <v>260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153</v>
      </c>
      <c r="I7" s="66" t="s">
        <v>243</v>
      </c>
      <c r="J7" s="66" t="s">
        <v>333</v>
      </c>
      <c r="K7" s="66" t="s">
        <v>112</v>
      </c>
      <c r="L7" s="67" t="s">
        <v>60</v>
      </c>
      <c r="M7" s="67" t="s">
        <v>92</v>
      </c>
      <c r="N7" s="67" t="s">
        <v>641</v>
      </c>
      <c r="O7" s="81"/>
      <c r="P7" s="69">
        <v>1.0</v>
      </c>
      <c r="Q7" s="70" t="s">
        <v>642</v>
      </c>
      <c r="R7" s="83"/>
      <c r="S7" s="71" t="s">
        <v>137</v>
      </c>
      <c r="T7" s="69">
        <v>1.0</v>
      </c>
      <c r="U7" s="69">
        <v>1.0</v>
      </c>
      <c r="V7" s="69">
        <v>1.0</v>
      </c>
      <c r="W7" s="69">
        <v>1.0</v>
      </c>
      <c r="X7" s="70" t="s">
        <v>631</v>
      </c>
      <c r="Y7" s="71" t="s">
        <v>632</v>
      </c>
      <c r="Z7" s="71" t="s">
        <v>633</v>
      </c>
      <c r="AA7" s="71" t="s">
        <v>634</v>
      </c>
      <c r="AB7" s="72" t="s">
        <v>464</v>
      </c>
      <c r="AC7" s="63" t="s">
        <v>302</v>
      </c>
      <c r="AD7" s="63" t="s">
        <v>114</v>
      </c>
      <c r="AE7" s="63" t="s">
        <v>115</v>
      </c>
      <c r="AF7" s="63" t="s">
        <v>86</v>
      </c>
      <c r="AG7" s="63" t="s">
        <v>322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 de Educación Informal para la Gestión Administrativa</v>
      </c>
      <c r="AT7" s="80" t="s">
        <v>242</v>
      </c>
      <c r="AU7" s="80" t="s">
        <v>243</v>
      </c>
      <c r="AV7" s="80"/>
      <c r="AW7" s="80"/>
      <c r="AX7" s="79"/>
      <c r="AY7" s="78" t="str">
        <f t="array" ref="AY7:BD7">INDEX(R_Pro__Act,MATCH(I7,L_Prod,0))</f>
        <v>Optimizar la gestión administrativa, operativa, de planeación, seguimiento y control de la Entidad, para mejorar el desempeño institucional y la prestación del servicio a nivel nacional</v>
      </c>
      <c r="AZ7" s="80" t="s">
        <v>334</v>
      </c>
      <c r="BA7" s="80" t="s">
        <v>335</v>
      </c>
      <c r="BB7" s="80" t="s">
        <v>336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59</v>
      </c>
      <c r="D3" s="64" t="s">
        <v>276</v>
      </c>
      <c r="E3" s="64" t="s">
        <v>124</v>
      </c>
      <c r="F3" s="65">
        <f>IF(ISBLANK(E3),"",VLOOKUP(E3,R_Inf_Proy,2,0))</f>
        <v>2019011000277</v>
      </c>
      <c r="G3" s="65" t="str">
        <f>IF(ISBLANK(E3),"",VLOOKUP(E3,R_Inf_Proy,3,0))</f>
        <v>Investigación</v>
      </c>
      <c r="H3" s="66" t="s">
        <v>129</v>
      </c>
      <c r="I3" s="66" t="s">
        <v>224</v>
      </c>
      <c r="J3" s="66" t="s">
        <v>309</v>
      </c>
      <c r="K3" s="66" t="s">
        <v>82</v>
      </c>
      <c r="L3" s="67" t="s">
        <v>60</v>
      </c>
      <c r="M3" s="67" t="s">
        <v>61</v>
      </c>
      <c r="N3" s="67" t="s">
        <v>643</v>
      </c>
      <c r="O3" s="68">
        <v>3.0</v>
      </c>
      <c r="P3" s="109">
        <v>2.0</v>
      </c>
      <c r="Q3" s="70" t="s">
        <v>644</v>
      </c>
      <c r="R3" s="71" t="s">
        <v>645</v>
      </c>
      <c r="S3" s="71" t="s">
        <v>44</v>
      </c>
      <c r="T3" s="109">
        <v>0.0</v>
      </c>
      <c r="U3" s="109">
        <v>0.0</v>
      </c>
      <c r="V3" s="109">
        <v>0.0</v>
      </c>
      <c r="W3" s="109">
        <v>2.0</v>
      </c>
      <c r="X3" s="70" t="s">
        <v>276</v>
      </c>
      <c r="Y3" s="71" t="s">
        <v>646</v>
      </c>
      <c r="Z3" s="71" t="s">
        <v>647</v>
      </c>
      <c r="AA3" s="71" t="s">
        <v>648</v>
      </c>
      <c r="AB3" s="72" t="s">
        <v>649</v>
      </c>
      <c r="AC3" s="63" t="s">
        <v>302</v>
      </c>
      <c r="AD3" s="63" t="s">
        <v>53</v>
      </c>
      <c r="AE3" s="63" t="s">
        <v>187</v>
      </c>
      <c r="AF3" s="63" t="s">
        <v>170</v>
      </c>
      <c r="AG3" s="63" t="s">
        <v>282</v>
      </c>
      <c r="AH3" s="63"/>
      <c r="AI3" s="73"/>
      <c r="AJ3" s="73"/>
      <c r="AK3" s="74"/>
      <c r="AL3" s="75"/>
      <c r="AM3" s="76" t="str">
        <f t="shared" ref="AM3:AM100" si="1">IF(K3="PRODUCTO",VLOOKUP(I3,#REF!,6,0),IF(K3="GESTIÓN",VLOOKUP(E3,#REF!,14,0),""))</f>
        <v/>
      </c>
      <c r="AO3" s="77" t="str">
        <f t="array" ref="AO3:AQ3">INDEX(R_Proy__ObjEsp,MATCH(E3,L_Proy,0))</f>
        <v>Aumentar el desarrollo de la acuicultura asociado a la optimización de los procesos productivos.</v>
      </c>
      <c r="AP3" s="78" t="s">
        <v>128</v>
      </c>
      <c r="AQ3" s="78" t="s">
        <v>129</v>
      </c>
      <c r="AR3" s="79"/>
      <c r="AS3" s="78" t="str">
        <f t="array" ref="AS3:AV3">INDEX(R_ObjEsp__Prod,MATCH(H3,L_ObjEsp,0))</f>
        <v>Documentos de investigación</v>
      </c>
      <c r="AT3" s="80"/>
      <c r="AU3" s="80"/>
      <c r="AV3" s="80"/>
      <c r="AW3" s="80"/>
      <c r="AX3" s="79"/>
      <c r="AY3" s="78" t="str">
        <f t="array" ref="AY3:BD3">INDEX(R_Pro__Act,MATCH(I3,L_Prod,0))</f>
        <v>Evaluar el estado de aprovechamiento de los recursos pesqueros marinos, continentales y ornamentales en las cuencas hidrográficas del país</v>
      </c>
      <c r="AZ3" s="80" t="s">
        <v>309</v>
      </c>
      <c r="BA3" s="80" t="s">
        <v>310</v>
      </c>
      <c r="BB3" s="80" t="s">
        <v>311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59</v>
      </c>
      <c r="D4" s="64" t="s">
        <v>276</v>
      </c>
      <c r="E4" s="64" t="s">
        <v>124</v>
      </c>
      <c r="F4" s="65">
        <f>IF(ISBLANK(E4),"",VLOOKUP(E4,R_Inf_Proy,2,0))</f>
        <v>2019011000277</v>
      </c>
      <c r="G4" s="65" t="str">
        <f>IF(ISBLANK(E4),"",VLOOKUP(E4,R_Inf_Proy,3,0))</f>
        <v>Investigación</v>
      </c>
      <c r="H4" s="66" t="s">
        <v>129</v>
      </c>
      <c r="I4" s="66" t="s">
        <v>224</v>
      </c>
      <c r="J4" s="66" t="s">
        <v>308</v>
      </c>
      <c r="K4" s="66" t="s">
        <v>82</v>
      </c>
      <c r="L4" s="67" t="s">
        <v>60</v>
      </c>
      <c r="M4" s="67" t="s">
        <v>61</v>
      </c>
      <c r="N4" s="67" t="s">
        <v>643</v>
      </c>
      <c r="O4" s="68">
        <v>3.0</v>
      </c>
      <c r="P4" s="109">
        <v>3.0</v>
      </c>
      <c r="Q4" s="70" t="s">
        <v>644</v>
      </c>
      <c r="R4" s="71" t="str">
        <f>R3</f>
        <v>Documentos</v>
      </c>
      <c r="S4" s="71" t="s">
        <v>44</v>
      </c>
      <c r="T4" s="109">
        <v>0.0</v>
      </c>
      <c r="U4" s="109">
        <v>0.0</v>
      </c>
      <c r="V4" s="109">
        <v>0.0</v>
      </c>
      <c r="W4" s="109">
        <v>3.0</v>
      </c>
      <c r="X4" s="70" t="s">
        <v>276</v>
      </c>
      <c r="Y4" s="71" t="s">
        <v>646</v>
      </c>
      <c r="Z4" s="71" t="s">
        <v>647</v>
      </c>
      <c r="AA4" s="71" t="s">
        <v>648</v>
      </c>
      <c r="AB4" s="72" t="s">
        <v>649</v>
      </c>
      <c r="AC4" s="63" t="s">
        <v>302</v>
      </c>
      <c r="AD4" s="63" t="s">
        <v>53</v>
      </c>
      <c r="AE4" s="63" t="s">
        <v>187</v>
      </c>
      <c r="AF4" s="63" t="s">
        <v>170</v>
      </c>
      <c r="AG4" s="63" t="s">
        <v>282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Aumentar el desarrollo de la acuicultura asociado a la optimización de los procesos productivos.</v>
      </c>
      <c r="AP4" s="78" t="s">
        <v>128</v>
      </c>
      <c r="AQ4" s="78" t="s">
        <v>129</v>
      </c>
      <c r="AR4" s="79"/>
      <c r="AS4" s="78" t="str">
        <f t="array" ref="AS4:AV4">INDEX(R_ObjEsp__Prod,MATCH(H4,L_ObjEsp,0))</f>
        <v>Documentos de investigación</v>
      </c>
      <c r="AT4" s="80"/>
      <c r="AU4" s="80"/>
      <c r="AV4" s="80"/>
      <c r="AW4" s="80"/>
      <c r="AX4" s="79"/>
      <c r="AY4" s="78" t="str">
        <f t="array" ref="AY4:BD4">INDEX(R_Pro__Act,MATCH(I4,L_Prod,0))</f>
        <v>Evaluar el estado de aprovechamiento de los recursos pesqueros marinos, continentales y ornamentales en las cuencas hidrográficas del país</v>
      </c>
      <c r="AZ4" s="80" t="s">
        <v>309</v>
      </c>
      <c r="BA4" s="80" t="s">
        <v>310</v>
      </c>
      <c r="BB4" s="80" t="s">
        <v>311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59</v>
      </c>
      <c r="D5" s="64" t="s">
        <v>276</v>
      </c>
      <c r="E5" s="64" t="s">
        <v>124</v>
      </c>
      <c r="F5" s="65">
        <f>IF(ISBLANK(E5),"",VLOOKUP(E5,R_Inf_Proy,2,0))</f>
        <v>2019011000277</v>
      </c>
      <c r="G5" s="65" t="str">
        <f>IF(ISBLANK(E5),"",VLOOKUP(E5,R_Inf_Proy,3,0))</f>
        <v>Investigación</v>
      </c>
      <c r="H5" s="66" t="s">
        <v>129</v>
      </c>
      <c r="I5" s="66" t="s">
        <v>224</v>
      </c>
      <c r="J5" s="66" t="s">
        <v>308</v>
      </c>
      <c r="K5" s="66" t="s">
        <v>112</v>
      </c>
      <c r="L5" s="67" t="s">
        <v>60</v>
      </c>
      <c r="M5" s="67" t="s">
        <v>92</v>
      </c>
      <c r="N5" s="67" t="s">
        <v>650</v>
      </c>
      <c r="O5" s="68">
        <v>1.0</v>
      </c>
      <c r="P5" s="69">
        <v>1.0</v>
      </c>
      <c r="Q5" s="70" t="s">
        <v>651</v>
      </c>
      <c r="R5" s="71" t="s">
        <v>652</v>
      </c>
      <c r="S5" s="71" t="s">
        <v>137</v>
      </c>
      <c r="T5" s="69">
        <v>1.0</v>
      </c>
      <c r="U5" s="69">
        <v>1.0</v>
      </c>
      <c r="V5" s="69">
        <v>1.0</v>
      </c>
      <c r="W5" s="69">
        <v>1.0</v>
      </c>
      <c r="X5" s="70" t="s">
        <v>276</v>
      </c>
      <c r="Y5" s="71" t="s">
        <v>646</v>
      </c>
      <c r="Z5" s="71" t="s">
        <v>647</v>
      </c>
      <c r="AA5" s="71" t="s">
        <v>648</v>
      </c>
      <c r="AB5" s="72" t="s">
        <v>649</v>
      </c>
      <c r="AC5" s="63" t="s">
        <v>302</v>
      </c>
      <c r="AD5" s="63" t="s">
        <v>53</v>
      </c>
      <c r="AE5" s="63" t="s">
        <v>187</v>
      </c>
      <c r="AF5" s="63" t="s">
        <v>170</v>
      </c>
      <c r="AG5" s="63" t="s">
        <v>282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Aumentar el desarrollo de la acuicultura asociado a la optimización de los procesos productivos.</v>
      </c>
      <c r="AP5" s="78" t="s">
        <v>128</v>
      </c>
      <c r="AQ5" s="78" t="s">
        <v>129</v>
      </c>
      <c r="AR5" s="79"/>
      <c r="AS5" s="78" t="str">
        <f t="array" ref="AS5:AV5">INDEX(R_ObjEsp__Prod,MATCH(H5,L_ObjEsp,0))</f>
        <v>Documentos de investigación</v>
      </c>
      <c r="AT5" s="80"/>
      <c r="AU5" s="80"/>
      <c r="AV5" s="80"/>
      <c r="AW5" s="80"/>
      <c r="AX5" s="79"/>
      <c r="AY5" s="78" t="str">
        <f t="array" ref="AY5:BD5">INDEX(R_Pro__Act,MATCH(I5,L_Prod,0))</f>
        <v>Evaluar el estado de aprovechamiento de los recursos pesqueros marinos, continentales y ornamentales en las cuencas hidrográficas del país</v>
      </c>
      <c r="AZ5" s="80" t="s">
        <v>309</v>
      </c>
      <c r="BA5" s="80" t="s">
        <v>310</v>
      </c>
      <c r="BB5" s="80" t="s">
        <v>311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59</v>
      </c>
      <c r="D6" s="64" t="s">
        <v>276</v>
      </c>
      <c r="E6" s="64" t="s">
        <v>124</v>
      </c>
      <c r="F6" s="65">
        <f>IF(ISBLANK(E6),"",VLOOKUP(E6,R_Inf_Proy,2,0))</f>
        <v>2019011000277</v>
      </c>
      <c r="G6" s="65" t="str">
        <f>IF(ISBLANK(E6),"",VLOOKUP(E6,R_Inf_Proy,3,0))</f>
        <v>Investigación</v>
      </c>
      <c r="H6" s="66" t="s">
        <v>127</v>
      </c>
      <c r="I6" s="66" t="s">
        <v>193</v>
      </c>
      <c r="J6" s="66" t="s">
        <v>274</v>
      </c>
      <c r="K6" s="66" t="s">
        <v>82</v>
      </c>
      <c r="L6" s="67" t="s">
        <v>60</v>
      </c>
      <c r="M6" s="67" t="s">
        <v>61</v>
      </c>
      <c r="N6" s="67" t="s">
        <v>653</v>
      </c>
      <c r="O6" s="68">
        <v>4.0</v>
      </c>
      <c r="P6" s="109">
        <v>2.0</v>
      </c>
      <c r="Q6" s="70" t="s">
        <v>654</v>
      </c>
      <c r="R6" s="71" t="str">
        <f>R4</f>
        <v>Documentos</v>
      </c>
      <c r="S6" s="71" t="s">
        <v>44</v>
      </c>
      <c r="T6" s="109">
        <v>0.0</v>
      </c>
      <c r="U6" s="109">
        <v>0.0</v>
      </c>
      <c r="V6" s="109">
        <v>0.0</v>
      </c>
      <c r="W6" s="109">
        <v>2.0</v>
      </c>
      <c r="X6" s="70" t="s">
        <v>276</v>
      </c>
      <c r="Y6" s="71" t="s">
        <v>646</v>
      </c>
      <c r="Z6" s="71" t="s">
        <v>647</v>
      </c>
      <c r="AA6" s="71" t="s">
        <v>648</v>
      </c>
      <c r="AB6" s="72" t="s">
        <v>649</v>
      </c>
      <c r="AC6" s="63" t="s">
        <v>302</v>
      </c>
      <c r="AD6" s="63" t="s">
        <v>53</v>
      </c>
      <c r="AE6" s="63" t="s">
        <v>187</v>
      </c>
      <c r="AF6" s="63" t="s">
        <v>170</v>
      </c>
      <c r="AG6" s="63" t="s">
        <v>282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Aumentar el desarrollo de la acuicultura asociado a la optimización de los procesos productivos.</v>
      </c>
      <c r="AP6" s="78" t="s">
        <v>128</v>
      </c>
      <c r="AQ6" s="78" t="s">
        <v>129</v>
      </c>
      <c r="AR6" s="79"/>
      <c r="AS6" s="78" t="str">
        <f t="array" ref="AS6:AV6">INDEX(R_ObjEsp__Prod,MATCH(H6,L_ObjEsp,0))</f>
        <v>Documentos de lineamientos técnicos</v>
      </c>
      <c r="AT6" s="80" t="s">
        <v>194</v>
      </c>
      <c r="AU6" s="80"/>
      <c r="AV6" s="80"/>
      <c r="AW6" s="80"/>
      <c r="AX6" s="79"/>
      <c r="AY6" s="78" t="str">
        <f t="array" ref="AY6:BD6">INDEX(R_Pro__Act,MATCH(I6,L_Prod,0))</f>
        <v>Apoyar estudios de capacidad de carga en los cuerpos de agua con potencial acuícola</v>
      </c>
      <c r="AZ6" s="80" t="s">
        <v>272</v>
      </c>
      <c r="BA6" s="80" t="s">
        <v>273</v>
      </c>
      <c r="BB6" s="80" t="s">
        <v>274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59</v>
      </c>
      <c r="D7" s="64" t="s">
        <v>276</v>
      </c>
      <c r="E7" s="64" t="s">
        <v>124</v>
      </c>
      <c r="F7" s="65">
        <f>IF(ISBLANK(E7),"",VLOOKUP(E7,R_Inf_Proy,2,0))</f>
        <v>2019011000277</v>
      </c>
      <c r="G7" s="65" t="str">
        <f>IF(ISBLANK(E7),"",VLOOKUP(E7,R_Inf_Proy,3,0))</f>
        <v>Investigación</v>
      </c>
      <c r="H7" s="66" t="s">
        <v>127</v>
      </c>
      <c r="I7" s="66" t="s">
        <v>193</v>
      </c>
      <c r="J7" s="66" t="s">
        <v>272</v>
      </c>
      <c r="K7" s="66" t="s">
        <v>82</v>
      </c>
      <c r="L7" s="67" t="s">
        <v>60</v>
      </c>
      <c r="M7" s="67" t="s">
        <v>61</v>
      </c>
      <c r="N7" s="67" t="s">
        <v>653</v>
      </c>
      <c r="O7" s="68">
        <v>4.0</v>
      </c>
      <c r="P7" s="109">
        <v>3.0</v>
      </c>
      <c r="Q7" s="70" t="s">
        <v>654</v>
      </c>
      <c r="R7" s="83" t="str">
        <f>R6</f>
        <v>Documentos</v>
      </c>
      <c r="S7" s="71" t="s">
        <v>44</v>
      </c>
      <c r="T7" s="109">
        <v>0.0</v>
      </c>
      <c r="U7" s="109">
        <v>0.0</v>
      </c>
      <c r="V7" s="109">
        <v>0.0</v>
      </c>
      <c r="W7" s="109">
        <v>3.0</v>
      </c>
      <c r="X7" s="70" t="s">
        <v>276</v>
      </c>
      <c r="Y7" s="71" t="s">
        <v>646</v>
      </c>
      <c r="Z7" s="71" t="s">
        <v>647</v>
      </c>
      <c r="AA7" s="71" t="s">
        <v>648</v>
      </c>
      <c r="AB7" s="72" t="s">
        <v>649</v>
      </c>
      <c r="AC7" s="63" t="s">
        <v>302</v>
      </c>
      <c r="AD7" s="63" t="s">
        <v>53</v>
      </c>
      <c r="AE7" s="63" t="s">
        <v>187</v>
      </c>
      <c r="AF7" s="63" t="s">
        <v>170</v>
      </c>
      <c r="AG7" s="63" t="s">
        <v>282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Aumentar el desarrollo de la acuicultura asociado a la optimización de los procesos productivos.</v>
      </c>
      <c r="AP7" s="78" t="s">
        <v>128</v>
      </c>
      <c r="AQ7" s="78" t="s">
        <v>129</v>
      </c>
      <c r="AR7" s="79"/>
      <c r="AS7" s="78" t="str">
        <f t="array" ref="AS7:AV7">INDEX(R_ObjEsp__Prod,MATCH(H7,L_ObjEsp,0))</f>
        <v>Documentos de lineamientos técnicos</v>
      </c>
      <c r="AT7" s="80" t="s">
        <v>194</v>
      </c>
      <c r="AU7" s="80"/>
      <c r="AV7" s="80"/>
      <c r="AW7" s="80"/>
      <c r="AX7" s="79"/>
      <c r="AY7" s="78" t="str">
        <f t="array" ref="AY7:BD7">INDEX(R_Pro__Act,MATCH(I7,L_Prod,0))</f>
        <v>Apoyar estudios de capacidad de carga en los cuerpos de agua con potencial acuícola</v>
      </c>
      <c r="AZ7" s="80" t="s">
        <v>272</v>
      </c>
      <c r="BA7" s="80" t="s">
        <v>273</v>
      </c>
      <c r="BB7" s="80" t="s">
        <v>274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90.0" customHeight="1">
      <c r="A8" s="39"/>
      <c r="B8" s="62">
        <v>6.0</v>
      </c>
      <c r="C8" s="63" t="s">
        <v>59</v>
      </c>
      <c r="D8" s="64" t="s">
        <v>276</v>
      </c>
      <c r="E8" s="64" t="s">
        <v>124</v>
      </c>
      <c r="F8" s="65">
        <f>IF(ISBLANK(E8),"",VLOOKUP(E8,R_Inf_Proy,2,0))</f>
        <v>2019011000277</v>
      </c>
      <c r="G8" s="65" t="str">
        <f>IF(ISBLANK(E8),"",VLOOKUP(E8,R_Inf_Proy,3,0))</f>
        <v>Investigación</v>
      </c>
      <c r="H8" s="66" t="s">
        <v>127</v>
      </c>
      <c r="I8" s="66" t="s">
        <v>193</v>
      </c>
      <c r="J8" s="66" t="s">
        <v>274</v>
      </c>
      <c r="K8" s="66" t="s">
        <v>112</v>
      </c>
      <c r="L8" s="67" t="s">
        <v>60</v>
      </c>
      <c r="M8" s="67" t="s">
        <v>92</v>
      </c>
      <c r="N8" s="67" t="s">
        <v>650</v>
      </c>
      <c r="O8" s="68">
        <v>1.0</v>
      </c>
      <c r="P8" s="69">
        <v>1.0</v>
      </c>
      <c r="Q8" s="70" t="s">
        <v>655</v>
      </c>
      <c r="R8" s="71" t="s">
        <v>652</v>
      </c>
      <c r="S8" s="71" t="s">
        <v>137</v>
      </c>
      <c r="T8" s="69">
        <v>1.0</v>
      </c>
      <c r="U8" s="69">
        <v>1.0</v>
      </c>
      <c r="V8" s="69">
        <v>1.0</v>
      </c>
      <c r="W8" s="69">
        <v>1.0</v>
      </c>
      <c r="X8" s="70" t="s">
        <v>276</v>
      </c>
      <c r="Y8" s="71" t="s">
        <v>646</v>
      </c>
      <c r="Z8" s="71" t="s">
        <v>647</v>
      </c>
      <c r="AA8" s="71" t="s">
        <v>648</v>
      </c>
      <c r="AB8" s="72" t="s">
        <v>649</v>
      </c>
      <c r="AC8" s="63" t="s">
        <v>302</v>
      </c>
      <c r="AD8" s="63" t="s">
        <v>53</v>
      </c>
      <c r="AE8" s="63" t="s">
        <v>187</v>
      </c>
      <c r="AF8" s="63" t="s">
        <v>170</v>
      </c>
      <c r="AG8" s="63" t="s">
        <v>282</v>
      </c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Aumentar el desarrollo de la acuicultura asociado a la optimización de los procesos productivos.</v>
      </c>
      <c r="AP8" s="78" t="s">
        <v>128</v>
      </c>
      <c r="AQ8" s="78" t="s">
        <v>129</v>
      </c>
      <c r="AR8" s="79"/>
      <c r="AS8" s="78" t="str">
        <f t="array" ref="AS8:AV8">INDEX(R_ObjEsp__Prod,MATCH(H8,L_ObjEsp,0))</f>
        <v>Documentos de lineamientos técnicos</v>
      </c>
      <c r="AT8" s="80" t="s">
        <v>194</v>
      </c>
      <c r="AU8" s="80"/>
      <c r="AV8" s="80"/>
      <c r="AW8" s="80"/>
      <c r="AX8" s="79"/>
      <c r="AY8" s="78" t="str">
        <f t="array" ref="AY8:BD8">INDEX(R_Pro__Act,MATCH(I8,L_Prod,0))</f>
        <v>Apoyar estudios de capacidad de carga en los cuerpos de agua con potencial acuícola</v>
      </c>
      <c r="AZ8" s="80" t="s">
        <v>272</v>
      </c>
      <c r="BA8" s="80" t="s">
        <v>273</v>
      </c>
      <c r="BB8" s="80" t="s">
        <v>274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59</v>
      </c>
      <c r="D9" s="64" t="s">
        <v>276</v>
      </c>
      <c r="E9" s="64" t="s">
        <v>124</v>
      </c>
      <c r="F9" s="65">
        <f>IF(ISBLANK(E9),"",VLOOKUP(E9,R_Inf_Proy,2,0))</f>
        <v>2019011000277</v>
      </c>
      <c r="G9" s="65" t="str">
        <f>IF(ISBLANK(E9),"",VLOOKUP(E9,R_Inf_Proy,3,0))</f>
        <v>Investigación</v>
      </c>
      <c r="H9" s="66" t="s">
        <v>127</v>
      </c>
      <c r="I9" s="66" t="s">
        <v>194</v>
      </c>
      <c r="J9" s="66" t="s">
        <v>287</v>
      </c>
      <c r="K9" s="66" t="s">
        <v>82</v>
      </c>
      <c r="L9" s="67" t="s">
        <v>60</v>
      </c>
      <c r="M9" s="67" t="s">
        <v>61</v>
      </c>
      <c r="N9" s="67" t="s">
        <v>656</v>
      </c>
      <c r="O9" s="109">
        <v>1.0</v>
      </c>
      <c r="P9" s="109">
        <v>1.0</v>
      </c>
      <c r="Q9" s="70" t="s">
        <v>657</v>
      </c>
      <c r="R9" s="71" t="s">
        <v>658</v>
      </c>
      <c r="S9" s="71" t="s">
        <v>44</v>
      </c>
      <c r="T9" s="109">
        <v>0.0</v>
      </c>
      <c r="U9" s="109">
        <v>0.0</v>
      </c>
      <c r="V9" s="109">
        <v>0.0</v>
      </c>
      <c r="W9" s="109">
        <v>1.0</v>
      </c>
      <c r="X9" s="70" t="s">
        <v>276</v>
      </c>
      <c r="Y9" s="71" t="s">
        <v>646</v>
      </c>
      <c r="Z9" s="71" t="s">
        <v>647</v>
      </c>
      <c r="AA9" s="71" t="s">
        <v>648</v>
      </c>
      <c r="AB9" s="72" t="s">
        <v>649</v>
      </c>
      <c r="AC9" s="63" t="s">
        <v>302</v>
      </c>
      <c r="AD9" s="63" t="s">
        <v>53</v>
      </c>
      <c r="AE9" s="63" t="s">
        <v>187</v>
      </c>
      <c r="AF9" s="63" t="s">
        <v>170</v>
      </c>
      <c r="AG9" s="63" t="s">
        <v>282</v>
      </c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Aumentar el desarrollo de la acuicultura asociado a la optimización de los procesos productivos.</v>
      </c>
      <c r="AP9" s="78" t="s">
        <v>128</v>
      </c>
      <c r="AQ9" s="78" t="s">
        <v>129</v>
      </c>
      <c r="AR9" s="79"/>
      <c r="AS9" s="78" t="str">
        <f t="array" ref="AS9:AV9">INDEX(R_ObjEsp__Prod,MATCH(H9,L_ObjEsp,0))</f>
        <v>Documentos de lineamientos técnicos</v>
      </c>
      <c r="AT9" s="80" t="s">
        <v>194</v>
      </c>
      <c r="AU9" s="80"/>
      <c r="AV9" s="80"/>
      <c r="AW9" s="80"/>
      <c r="AX9" s="79"/>
      <c r="AY9" s="78" t="str">
        <f t="array" ref="AY9:BD9">INDEX(R_Pro__Act,MATCH(I9,L_Prod,0))</f>
        <v>Obtener información para el mejoramiento genético de especies nativas con fines de cultivo y repoblamiento y especies exóticas domésticas con fines de cultivo</v>
      </c>
      <c r="AZ9" s="80" t="s">
        <v>287</v>
      </c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9.0</v>
      </c>
      <c r="C10" s="63" t="s">
        <v>59</v>
      </c>
      <c r="D10" s="64" t="s">
        <v>276</v>
      </c>
      <c r="E10" s="64" t="s">
        <v>124</v>
      </c>
      <c r="F10" s="65">
        <f>IF(ISBLANK(E10),"",VLOOKUP(E10,R_Inf_Proy,2,0))</f>
        <v>2019011000277</v>
      </c>
      <c r="G10" s="65" t="str">
        <f>IF(ISBLANK(E10),"",VLOOKUP(E10,R_Inf_Proy,3,0))</f>
        <v>Investigación</v>
      </c>
      <c r="H10" s="66" t="s">
        <v>128</v>
      </c>
      <c r="I10" s="66" t="s">
        <v>208</v>
      </c>
      <c r="J10" s="66" t="s">
        <v>296</v>
      </c>
      <c r="K10" s="66" t="s">
        <v>82</v>
      </c>
      <c r="L10" s="67" t="s">
        <v>60</v>
      </c>
      <c r="M10" s="67" t="s">
        <v>61</v>
      </c>
      <c r="N10" s="67" t="s">
        <v>608</v>
      </c>
      <c r="O10" s="68">
        <v>2.0</v>
      </c>
      <c r="P10" s="68">
        <v>2.0</v>
      </c>
      <c r="Q10" s="70" t="s">
        <v>659</v>
      </c>
      <c r="R10" s="71" t="s">
        <v>645</v>
      </c>
      <c r="S10" s="71" t="s">
        <v>44</v>
      </c>
      <c r="T10" s="68">
        <v>0.0</v>
      </c>
      <c r="U10" s="68">
        <v>0.0</v>
      </c>
      <c r="V10" s="68">
        <v>0.0</v>
      </c>
      <c r="W10" s="68">
        <v>2.0</v>
      </c>
      <c r="X10" s="70" t="s">
        <v>276</v>
      </c>
      <c r="Y10" s="71" t="s">
        <v>646</v>
      </c>
      <c r="Z10" s="71" t="s">
        <v>647</v>
      </c>
      <c r="AA10" s="71" t="s">
        <v>648</v>
      </c>
      <c r="AB10" s="72" t="s">
        <v>649</v>
      </c>
      <c r="AC10" s="63" t="s">
        <v>302</v>
      </c>
      <c r="AD10" s="63" t="s">
        <v>53</v>
      </c>
      <c r="AE10" s="63" t="s">
        <v>187</v>
      </c>
      <c r="AF10" s="63" t="s">
        <v>170</v>
      </c>
      <c r="AG10" s="63" t="s">
        <v>282</v>
      </c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:AQ10">INDEX(R_Proy__ObjEsp,MATCH(E10,L_Proy,0))</f>
        <v>Aumentar el desarrollo de la acuicultura asociado a la optimización de los procesos productivos.</v>
      </c>
      <c r="AP10" s="78" t="s">
        <v>128</v>
      </c>
      <c r="AQ10" s="78" t="s">
        <v>129</v>
      </c>
      <c r="AR10" s="79"/>
      <c r="AS10" s="78" t="str">
        <f t="array" ref="AS10:AV10">INDEX(R_ObjEsp__Prod,MATCH(H10,L_ObjEsp,0))</f>
        <v>Servicio de análisis de Información para la planificación pesquera y de la acuicultura</v>
      </c>
      <c r="AT10" s="80"/>
      <c r="AU10" s="80"/>
      <c r="AV10" s="80"/>
      <c r="AW10" s="80"/>
      <c r="AX10" s="79"/>
      <c r="AY10" s="78" t="str">
        <f t="array" ref="AY10:BD10">INDEX(R_Pro__Act,MATCH(I10,L_Prod,0))</f>
        <v>Realizar la caracterización socioeconómica de pescadores artesanales, acuicultores continentales y marinos y otros eslabones de la cadena productiva con inclusión de género</v>
      </c>
      <c r="AZ10" s="80" t="s">
        <v>296</v>
      </c>
      <c r="BA10" s="80" t="s">
        <v>297</v>
      </c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10.0</v>
      </c>
      <c r="C11" s="63" t="s">
        <v>59</v>
      </c>
      <c r="D11" s="64" t="s">
        <v>276</v>
      </c>
      <c r="E11" s="64" t="s">
        <v>124</v>
      </c>
      <c r="F11" s="65">
        <f>IF(ISBLANK(E11),"",VLOOKUP(E11,R_Inf_Proy,2,0))</f>
        <v>2019011000277</v>
      </c>
      <c r="G11" s="65" t="str">
        <f>IF(ISBLANK(E11),"",VLOOKUP(E11,R_Inf_Proy,3,0))</f>
        <v>Investigación</v>
      </c>
      <c r="H11" s="66" t="s">
        <v>128</v>
      </c>
      <c r="I11" s="66" t="s">
        <v>208</v>
      </c>
      <c r="J11" s="66" t="s">
        <v>297</v>
      </c>
      <c r="K11" s="66" t="s">
        <v>82</v>
      </c>
      <c r="L11" s="67" t="s">
        <v>60</v>
      </c>
      <c r="M11" s="67" t="s">
        <v>61</v>
      </c>
      <c r="N11" s="67" t="s">
        <v>608</v>
      </c>
      <c r="O11" s="68">
        <v>2.0</v>
      </c>
      <c r="P11" s="68">
        <v>1.0</v>
      </c>
      <c r="Q11" s="70" t="s">
        <v>659</v>
      </c>
      <c r="R11" s="71" t="s">
        <v>645</v>
      </c>
      <c r="S11" s="71" t="s">
        <v>44</v>
      </c>
      <c r="T11" s="68">
        <v>0.0</v>
      </c>
      <c r="U11" s="68">
        <v>0.0</v>
      </c>
      <c r="V11" s="68">
        <v>0.0</v>
      </c>
      <c r="W11" s="68">
        <v>1.0</v>
      </c>
      <c r="X11" s="70" t="s">
        <v>276</v>
      </c>
      <c r="Y11" s="71" t="s">
        <v>646</v>
      </c>
      <c r="Z11" s="71" t="s">
        <v>647</v>
      </c>
      <c r="AA11" s="71" t="s">
        <v>648</v>
      </c>
      <c r="AB11" s="72" t="s">
        <v>649</v>
      </c>
      <c r="AC11" s="63" t="s">
        <v>302</v>
      </c>
      <c r="AD11" s="63" t="s">
        <v>53</v>
      </c>
      <c r="AE11" s="63" t="s">
        <v>187</v>
      </c>
      <c r="AF11" s="63" t="s">
        <v>170</v>
      </c>
      <c r="AG11" s="63" t="s">
        <v>282</v>
      </c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:AQ11">INDEX(R_Proy__ObjEsp,MATCH(E11,L_Proy,0))</f>
        <v>Aumentar el desarrollo de la acuicultura asociado a la optimización de los procesos productivos.</v>
      </c>
      <c r="AP11" s="78" t="s">
        <v>128</v>
      </c>
      <c r="AQ11" s="78" t="s">
        <v>129</v>
      </c>
      <c r="AR11" s="79"/>
      <c r="AS11" s="78" t="str">
        <f t="array" ref="AS11:AV11">INDEX(R_ObjEsp__Prod,MATCH(H11,L_ObjEsp,0))</f>
        <v>Servicio de análisis de Información para la planificación pesquera y de la acuicultura</v>
      </c>
      <c r="AT11" s="80"/>
      <c r="AU11" s="80"/>
      <c r="AV11" s="80"/>
      <c r="AW11" s="80"/>
      <c r="AX11" s="79"/>
      <c r="AY11" s="78" t="str">
        <f t="array" ref="AY11:BD11">INDEX(R_Pro__Act,MATCH(I11,L_Prod,0))</f>
        <v>Realizar la caracterización socioeconómica de pescadores artesanales, acuicultores continentales y marinos y otros eslabones de la cadena productiva con inclusión de género</v>
      </c>
      <c r="AZ11" s="80" t="s">
        <v>296</v>
      </c>
      <c r="BA11" s="80" t="s">
        <v>297</v>
      </c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11.0</v>
      </c>
      <c r="C12" s="63" t="s">
        <v>59</v>
      </c>
      <c r="D12" s="64" t="s">
        <v>276</v>
      </c>
      <c r="E12" s="64" t="s">
        <v>124</v>
      </c>
      <c r="F12" s="65">
        <f>IF(ISBLANK(E12),"",VLOOKUP(E12,R_Inf_Proy,2,0))</f>
        <v>2019011000277</v>
      </c>
      <c r="G12" s="65" t="str">
        <f>IF(ISBLANK(E12),"",VLOOKUP(E12,R_Inf_Proy,3,0))</f>
        <v>Investigación</v>
      </c>
      <c r="H12" s="66" t="s">
        <v>129</v>
      </c>
      <c r="I12" s="66" t="s">
        <v>224</v>
      </c>
      <c r="J12" s="66" t="s">
        <v>308</v>
      </c>
      <c r="K12" s="66" t="s">
        <v>112</v>
      </c>
      <c r="L12" s="67" t="s">
        <v>60</v>
      </c>
      <c r="M12" s="67" t="s">
        <v>61</v>
      </c>
      <c r="N12" s="67" t="s">
        <v>660</v>
      </c>
      <c r="O12" s="68">
        <v>4.0</v>
      </c>
      <c r="P12" s="68">
        <v>4.0</v>
      </c>
      <c r="Q12" s="70" t="s">
        <v>661</v>
      </c>
      <c r="R12" s="71" t="s">
        <v>662</v>
      </c>
      <c r="S12" s="71" t="s">
        <v>137</v>
      </c>
      <c r="T12" s="68">
        <v>0.0</v>
      </c>
      <c r="U12" s="68">
        <v>1.0</v>
      </c>
      <c r="V12" s="68">
        <v>2.0</v>
      </c>
      <c r="W12" s="68">
        <v>1.0</v>
      </c>
      <c r="X12" s="70" t="s">
        <v>276</v>
      </c>
      <c r="Y12" s="71" t="s">
        <v>646</v>
      </c>
      <c r="Z12" s="71" t="s">
        <v>647</v>
      </c>
      <c r="AA12" s="71" t="s">
        <v>648</v>
      </c>
      <c r="AB12" s="72" t="s">
        <v>649</v>
      </c>
      <c r="AC12" s="63" t="s">
        <v>302</v>
      </c>
      <c r="AD12" s="63" t="s">
        <v>53</v>
      </c>
      <c r="AE12" s="63" t="s">
        <v>187</v>
      </c>
      <c r="AF12" s="63" t="s">
        <v>170</v>
      </c>
      <c r="AG12" s="63" t="s">
        <v>282</v>
      </c>
      <c r="AH12" s="85"/>
      <c r="AI12" s="73"/>
      <c r="AJ12" s="73"/>
      <c r="AK12" s="74"/>
      <c r="AL12" s="75"/>
      <c r="AM12" s="76" t="str">
        <f t="shared" si="1"/>
        <v/>
      </c>
      <c r="AO12" s="77" t="str">
        <f t="array" ref="AO12:AQ12">INDEX(R_Proy__ObjEsp,MATCH(E12,L_Proy,0))</f>
        <v>Aumentar el desarrollo de la acuicultura asociado a la optimización de los procesos productivos.</v>
      </c>
      <c r="AP12" s="78" t="s">
        <v>128</v>
      </c>
      <c r="AQ12" s="78" t="s">
        <v>129</v>
      </c>
      <c r="AR12" s="79"/>
      <c r="AS12" s="78" t="str">
        <f t="array" ref="AS12:AV12">INDEX(R_ObjEsp__Prod,MATCH(H12,L_ObjEsp,0))</f>
        <v>Documentos de investigación</v>
      </c>
      <c r="AT12" s="80"/>
      <c r="AU12" s="80"/>
      <c r="AV12" s="80"/>
      <c r="AW12" s="80"/>
      <c r="AX12" s="79"/>
      <c r="AY12" s="78" t="str">
        <f t="array" ref="AY12:BD12">INDEX(R_Pro__Act,MATCH(I12,L_Prod,0))</f>
        <v>Evaluar el estado de aprovechamiento de los recursos pesqueros marinos, continentales y ornamentales en las cuencas hidrográficas del país</v>
      </c>
      <c r="AZ12" s="80" t="s">
        <v>309</v>
      </c>
      <c r="BA12" s="80" t="s">
        <v>310</v>
      </c>
      <c r="BB12" s="80" t="s">
        <v>311</v>
      </c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12.0</v>
      </c>
      <c r="C13" s="63" t="s">
        <v>59</v>
      </c>
      <c r="D13" s="64" t="s">
        <v>276</v>
      </c>
      <c r="E13" s="64" t="s">
        <v>124</v>
      </c>
      <c r="F13" s="65">
        <f>IF(ISBLANK(E13),"",VLOOKUP(E13,R_Inf_Proy,2,0))</f>
        <v>2019011000277</v>
      </c>
      <c r="G13" s="65" t="str">
        <f>IF(ISBLANK(E13),"",VLOOKUP(E13,R_Inf_Proy,3,0))</f>
        <v>Investigación</v>
      </c>
      <c r="H13" s="66" t="s">
        <v>127</v>
      </c>
      <c r="I13" s="66" t="s">
        <v>193</v>
      </c>
      <c r="J13" s="66" t="s">
        <v>274</v>
      </c>
      <c r="K13" s="66" t="s">
        <v>112</v>
      </c>
      <c r="L13" s="67" t="s">
        <v>60</v>
      </c>
      <c r="M13" s="67" t="s">
        <v>61</v>
      </c>
      <c r="N13" s="67" t="s">
        <v>660</v>
      </c>
      <c r="O13" s="68">
        <v>4.0</v>
      </c>
      <c r="P13" s="68">
        <v>4.0</v>
      </c>
      <c r="Q13" s="70" t="s">
        <v>663</v>
      </c>
      <c r="R13" s="83" t="str">
        <f>R12</f>
        <v>Informes</v>
      </c>
      <c r="S13" s="71" t="s">
        <v>137</v>
      </c>
      <c r="T13" s="68">
        <v>0.0</v>
      </c>
      <c r="U13" s="68">
        <v>1.0</v>
      </c>
      <c r="V13" s="68">
        <v>2.0</v>
      </c>
      <c r="W13" s="68">
        <v>1.0</v>
      </c>
      <c r="X13" s="70" t="s">
        <v>276</v>
      </c>
      <c r="Y13" s="71" t="s">
        <v>646</v>
      </c>
      <c r="Z13" s="71" t="s">
        <v>647</v>
      </c>
      <c r="AA13" s="71" t="s">
        <v>648</v>
      </c>
      <c r="AB13" s="72" t="s">
        <v>649</v>
      </c>
      <c r="AC13" s="63" t="s">
        <v>302</v>
      </c>
      <c r="AD13" s="63" t="s">
        <v>53</v>
      </c>
      <c r="AE13" s="63" t="s">
        <v>187</v>
      </c>
      <c r="AF13" s="63" t="s">
        <v>170</v>
      </c>
      <c r="AG13" s="63" t="s">
        <v>282</v>
      </c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:AQ13">INDEX(R_Proy__ObjEsp,MATCH(E13,L_Proy,0))</f>
        <v>Aumentar el desarrollo de la acuicultura asociado a la optimización de los procesos productivos.</v>
      </c>
      <c r="AP13" s="78" t="s">
        <v>128</v>
      </c>
      <c r="AQ13" s="78" t="s">
        <v>129</v>
      </c>
      <c r="AR13" s="79"/>
      <c r="AS13" s="78" t="str">
        <f t="array" ref="AS13:AV13">INDEX(R_ObjEsp__Prod,MATCH(H13,L_ObjEsp,0))</f>
        <v>Documentos de lineamientos técnicos</v>
      </c>
      <c r="AT13" s="80" t="s">
        <v>194</v>
      </c>
      <c r="AU13" s="80"/>
      <c r="AV13" s="80"/>
      <c r="AW13" s="80"/>
      <c r="AX13" s="79"/>
      <c r="AY13" s="78" t="str">
        <f t="array" ref="AY13:BD13">INDEX(R_Pro__Act,MATCH(I13,L_Prod,0))</f>
        <v>Apoyar estudios de capacidad de carga en los cuerpos de agua con potencial acuícola</v>
      </c>
      <c r="AZ13" s="80" t="s">
        <v>272</v>
      </c>
      <c r="BA13" s="80" t="s">
        <v>273</v>
      </c>
      <c r="BB13" s="80" t="s">
        <v>274</v>
      </c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13.0</v>
      </c>
      <c r="C14" s="63" t="s">
        <v>59</v>
      </c>
      <c r="D14" s="64" t="s">
        <v>276</v>
      </c>
      <c r="E14" s="64" t="s">
        <v>124</v>
      </c>
      <c r="F14" s="65">
        <f>IF(ISBLANK(E14),"",VLOOKUP(E14,R_Inf_Proy,2,0))</f>
        <v>2019011000277</v>
      </c>
      <c r="G14" s="65" t="str">
        <f>IF(ISBLANK(E14),"",VLOOKUP(E14,R_Inf_Proy,3,0))</f>
        <v>Investigación</v>
      </c>
      <c r="H14" s="66" t="s">
        <v>127</v>
      </c>
      <c r="I14" s="66" t="s">
        <v>193</v>
      </c>
      <c r="J14" s="66" t="s">
        <v>274</v>
      </c>
      <c r="K14" s="66" t="s">
        <v>82</v>
      </c>
      <c r="L14" s="67" t="s">
        <v>60</v>
      </c>
      <c r="M14" s="67" t="s">
        <v>61</v>
      </c>
      <c r="N14" s="67" t="s">
        <v>664</v>
      </c>
      <c r="O14" s="81"/>
      <c r="P14" s="68">
        <v>2.0</v>
      </c>
      <c r="Q14" s="70" t="s">
        <v>665</v>
      </c>
      <c r="R14" s="71" t="s">
        <v>664</v>
      </c>
      <c r="S14" s="71" t="s">
        <v>137</v>
      </c>
      <c r="T14" s="68">
        <v>0.0</v>
      </c>
      <c r="U14" s="68">
        <v>0.0</v>
      </c>
      <c r="V14" s="68">
        <v>0.0</v>
      </c>
      <c r="W14" s="68">
        <v>2.0</v>
      </c>
      <c r="X14" s="70" t="s">
        <v>276</v>
      </c>
      <c r="Y14" s="71" t="s">
        <v>646</v>
      </c>
      <c r="Z14" s="71" t="s">
        <v>647</v>
      </c>
      <c r="AA14" s="71" t="s">
        <v>648</v>
      </c>
      <c r="AB14" s="72" t="s">
        <v>649</v>
      </c>
      <c r="AC14" s="63" t="s">
        <v>302</v>
      </c>
      <c r="AD14" s="63" t="s">
        <v>53</v>
      </c>
      <c r="AE14" s="63" t="s">
        <v>187</v>
      </c>
      <c r="AF14" s="63" t="s">
        <v>170</v>
      </c>
      <c r="AG14" s="63" t="s">
        <v>282</v>
      </c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:AQ14">INDEX(R_Proy__ObjEsp,MATCH(E14,L_Proy,0))</f>
        <v>Aumentar el desarrollo de la acuicultura asociado a la optimización de los procesos productivos.</v>
      </c>
      <c r="AP14" s="78" t="s">
        <v>128</v>
      </c>
      <c r="AQ14" s="78" t="s">
        <v>129</v>
      </c>
      <c r="AR14" s="79"/>
      <c r="AS14" s="78" t="str">
        <f t="array" ref="AS14:AV14">INDEX(R_ObjEsp__Prod,MATCH(H14,L_ObjEsp,0))</f>
        <v>Documentos de lineamientos técnicos</v>
      </c>
      <c r="AT14" s="80" t="s">
        <v>194</v>
      </c>
      <c r="AU14" s="80"/>
      <c r="AV14" s="80"/>
      <c r="AW14" s="80"/>
      <c r="AX14" s="79"/>
      <c r="AY14" s="78" t="str">
        <f t="array" ref="AY14:BD14">INDEX(R_Pro__Act,MATCH(I14,L_Prod,0))</f>
        <v>Apoyar estudios de capacidad de carga en los cuerpos de agua con potencial acuícola</v>
      </c>
      <c r="AZ14" s="80" t="s">
        <v>272</v>
      </c>
      <c r="BA14" s="80" t="s">
        <v>273</v>
      </c>
      <c r="BB14" s="80" t="s">
        <v>274</v>
      </c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14.0</v>
      </c>
      <c r="C15" s="63" t="s">
        <v>59</v>
      </c>
      <c r="D15" s="64" t="s">
        <v>276</v>
      </c>
      <c r="E15" s="64" t="s">
        <v>124</v>
      </c>
      <c r="F15" s="65">
        <f>IF(ISBLANK(E15),"",VLOOKUP(E15,R_Inf_Proy,2,0))</f>
        <v>2019011000277</v>
      </c>
      <c r="G15" s="65" t="str">
        <f>IF(ISBLANK(E15),"",VLOOKUP(E15,R_Inf_Proy,3,0))</f>
        <v>Investigación</v>
      </c>
      <c r="H15" s="66" t="s">
        <v>127</v>
      </c>
      <c r="I15" s="66" t="s">
        <v>193</v>
      </c>
      <c r="J15" s="66" t="s">
        <v>274</v>
      </c>
      <c r="K15" s="66" t="s">
        <v>82</v>
      </c>
      <c r="L15" s="67" t="s">
        <v>60</v>
      </c>
      <c r="M15" s="67" t="s">
        <v>61</v>
      </c>
      <c r="N15" s="67" t="s">
        <v>666</v>
      </c>
      <c r="O15" s="81"/>
      <c r="P15" s="68">
        <v>1.0</v>
      </c>
      <c r="Q15" s="70" t="s">
        <v>667</v>
      </c>
      <c r="R15" s="67" t="s">
        <v>666</v>
      </c>
      <c r="S15" s="71" t="s">
        <v>137</v>
      </c>
      <c r="T15" s="68">
        <v>0.0</v>
      </c>
      <c r="U15" s="68">
        <v>0.0</v>
      </c>
      <c r="V15" s="68">
        <v>0.0</v>
      </c>
      <c r="W15" s="68">
        <v>1.0</v>
      </c>
      <c r="X15" s="70" t="s">
        <v>276</v>
      </c>
      <c r="Y15" s="71" t="s">
        <v>646</v>
      </c>
      <c r="Z15" s="71" t="s">
        <v>647</v>
      </c>
      <c r="AA15" s="71" t="s">
        <v>648</v>
      </c>
      <c r="AB15" s="72" t="s">
        <v>649</v>
      </c>
      <c r="AC15" s="63" t="s">
        <v>302</v>
      </c>
      <c r="AD15" s="63" t="s">
        <v>53</v>
      </c>
      <c r="AE15" s="63" t="s">
        <v>187</v>
      </c>
      <c r="AF15" s="63" t="s">
        <v>170</v>
      </c>
      <c r="AG15" s="63" t="s">
        <v>282</v>
      </c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:AQ15">INDEX(R_Proy__ObjEsp,MATCH(E15,L_Proy,0))</f>
        <v>Aumentar el desarrollo de la acuicultura asociado a la optimización de los procesos productivos.</v>
      </c>
      <c r="AP15" s="78" t="s">
        <v>128</v>
      </c>
      <c r="AQ15" s="78" t="s">
        <v>129</v>
      </c>
      <c r="AR15" s="79"/>
      <c r="AS15" s="78" t="str">
        <f t="array" ref="AS15:AV15">INDEX(R_ObjEsp__Prod,MATCH(H15,L_ObjEsp,0))</f>
        <v>Documentos de lineamientos técnicos</v>
      </c>
      <c r="AT15" s="80" t="s">
        <v>194</v>
      </c>
      <c r="AU15" s="80"/>
      <c r="AV15" s="80"/>
      <c r="AW15" s="80"/>
      <c r="AX15" s="79"/>
      <c r="AY15" s="78" t="str">
        <f t="array" ref="AY15:BD15">INDEX(R_Pro__Act,MATCH(I15,L_Prod,0))</f>
        <v>Apoyar estudios de capacidad de carga en los cuerpos de agua con potencial acuícola</v>
      </c>
      <c r="AZ15" s="80" t="s">
        <v>272</v>
      </c>
      <c r="BA15" s="80" t="s">
        <v>273</v>
      </c>
      <c r="BB15" s="80" t="s">
        <v>274</v>
      </c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15.0</v>
      </c>
      <c r="C16" s="63" t="s">
        <v>59</v>
      </c>
      <c r="D16" s="64" t="s">
        <v>276</v>
      </c>
      <c r="E16" s="64" t="s">
        <v>124</v>
      </c>
      <c r="F16" s="65">
        <f>IF(ISBLANK(E16),"",VLOOKUP(E16,R_Inf_Proy,2,0))</f>
        <v>2019011000277</v>
      </c>
      <c r="G16" s="65" t="str">
        <f>IF(ISBLANK(E16),"",VLOOKUP(E16,R_Inf_Proy,3,0))</f>
        <v>Investigación</v>
      </c>
      <c r="H16" s="66" t="s">
        <v>127</v>
      </c>
      <c r="I16" s="66" t="s">
        <v>193</v>
      </c>
      <c r="J16" s="66" t="s">
        <v>272</v>
      </c>
      <c r="K16" s="66" t="s">
        <v>82</v>
      </c>
      <c r="L16" s="67" t="s">
        <v>60</v>
      </c>
      <c r="M16" s="67" t="s">
        <v>61</v>
      </c>
      <c r="N16" s="67" t="str">
        <f>N15</f>
        <v>Proyecto formulado</v>
      </c>
      <c r="O16" s="81"/>
      <c r="P16" s="68">
        <v>1.0</v>
      </c>
      <c r="Q16" s="70" t="s">
        <v>667</v>
      </c>
      <c r="R16" s="67" t="str">
        <f>R15</f>
        <v>Proyecto formulado</v>
      </c>
      <c r="S16" s="71" t="s">
        <v>137</v>
      </c>
      <c r="T16" s="68">
        <v>0.0</v>
      </c>
      <c r="U16" s="68">
        <v>0.0</v>
      </c>
      <c r="V16" s="68">
        <v>0.0</v>
      </c>
      <c r="W16" s="68">
        <v>1.0</v>
      </c>
      <c r="X16" s="70" t="s">
        <v>276</v>
      </c>
      <c r="Y16" s="71" t="s">
        <v>646</v>
      </c>
      <c r="Z16" s="71" t="s">
        <v>647</v>
      </c>
      <c r="AA16" s="71" t="s">
        <v>648</v>
      </c>
      <c r="AB16" s="72" t="s">
        <v>649</v>
      </c>
      <c r="AC16" s="63" t="s">
        <v>302</v>
      </c>
      <c r="AD16" s="63" t="s">
        <v>53</v>
      </c>
      <c r="AE16" s="63" t="s">
        <v>187</v>
      </c>
      <c r="AF16" s="63" t="s">
        <v>170</v>
      </c>
      <c r="AG16" s="63" t="s">
        <v>282</v>
      </c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:AQ16">INDEX(R_Proy__ObjEsp,MATCH(E16,L_Proy,0))</f>
        <v>Aumentar el desarrollo de la acuicultura asociado a la optimización de los procesos productivos.</v>
      </c>
      <c r="AP16" s="78" t="s">
        <v>128</v>
      </c>
      <c r="AQ16" s="78" t="s">
        <v>129</v>
      </c>
      <c r="AR16" s="79"/>
      <c r="AS16" s="78" t="str">
        <f t="array" ref="AS16:AV16">INDEX(R_ObjEsp__Prod,MATCH(H16,L_ObjEsp,0))</f>
        <v>Documentos de lineamientos técnicos</v>
      </c>
      <c r="AT16" s="80" t="s">
        <v>194</v>
      </c>
      <c r="AU16" s="80"/>
      <c r="AV16" s="80"/>
      <c r="AW16" s="80"/>
      <c r="AX16" s="79"/>
      <c r="AY16" s="78" t="str">
        <f t="array" ref="AY16:BD16">INDEX(R_Pro__Act,MATCH(I16,L_Prod,0))</f>
        <v>Apoyar estudios de capacidad de carga en los cuerpos de agua con potencial acuícola</v>
      </c>
      <c r="AZ16" s="80" t="s">
        <v>272</v>
      </c>
      <c r="BA16" s="80" t="s">
        <v>273</v>
      </c>
      <c r="BB16" s="80" t="s">
        <v>274</v>
      </c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16.0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17.0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18.0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19.0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20.0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21.0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22.0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23.0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24.0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25.0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26.0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27.0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28.0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29.0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30.0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31.0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32.0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33.0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34.0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35.0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36.0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37.0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38.0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39.0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40.0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41.0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42.0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43.0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44.0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45.0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46.0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47.0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48.0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49.0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50.0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51.0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52.0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53.0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54.0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55.0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56.0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57.0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58.0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59.0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60.0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61.0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62.0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63.0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64.0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65.0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66.0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67.0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68.0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69.0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70.0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71.0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72.0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73.0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74.0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75.0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76.0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77.0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78.0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79.0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80.0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81.0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82.0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83.0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84.0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85.0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86.0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87.0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88.0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89.0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90.0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91.0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92.0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93.0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94.0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95.0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96.0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97.0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 t="str">
        <f>IF(K98="PRODUCTO",RIGHT(VLOOKUP(I98,R_Ind_Prod,2,0),LEN(VLOOKUP(I98,R_Ind_Prod,2,0))-12),IF(K98="GESTIÓN",RIGHT(VLOOKUP(E98,R_Ind_Gest,12,0),LEN(VLOOKUP(E98,R_Ind_Gest,12,0))-11),""))</f>
        <v/>
      </c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98.0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99.0</v>
      </c>
      <c r="C100" s="63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88">
        <v>100.0</v>
      </c>
      <c r="C101" s="89"/>
      <c r="D101" s="90"/>
      <c r="E101" s="90"/>
      <c r="F101" s="91" t="str">
        <f>IF(ISBLANK(E101),"",VLOOKUP(E101,R_Inf_Proy,2,0))</f>
        <v/>
      </c>
      <c r="G101" s="91" t="str">
        <f>IF(ISBLANK(E101),"",VLOOKUP(E101,R_Inf_Proy,3,0))</f>
        <v/>
      </c>
      <c r="H101" s="92"/>
      <c r="I101" s="92"/>
      <c r="J101" s="92"/>
      <c r="K101" s="93"/>
      <c r="L101" s="94"/>
      <c r="M101" s="94"/>
      <c r="N101" s="94" t="str">
        <f>IF(K101="PRODUCTO",RIGHT(VLOOKUP(I101,R_Ind_Prod,2,0),LEN(VLOOKUP(I101,R_Ind_Prod,2,0))-12),IF(K101="GESTIÓN",RIGHT(VLOOKUP(E101,R_Ind_Gest,12,0),LEN(VLOOKUP(E101,R_Ind_Gest,12,0))-11),""))</f>
        <v/>
      </c>
      <c r="O101" s="95"/>
      <c r="P101" s="96"/>
      <c r="Q101" s="97"/>
      <c r="R101" s="98"/>
      <c r="S101" s="98"/>
      <c r="T101" s="95"/>
      <c r="U101" s="95"/>
      <c r="V101" s="95"/>
      <c r="W101" s="95"/>
      <c r="X101" s="97"/>
      <c r="Y101" s="98"/>
      <c r="Z101" s="98"/>
      <c r="AA101" s="98"/>
      <c r="AB101" s="99"/>
      <c r="AC101" s="89"/>
      <c r="AD101" s="89"/>
      <c r="AE101" s="89"/>
      <c r="AF101" s="89"/>
      <c r="AG101" s="89"/>
      <c r="AH101" s="89"/>
      <c r="AI101" s="99"/>
      <c r="AJ101" s="99"/>
      <c r="AK101" s="100"/>
      <c r="AL101" s="101"/>
      <c r="AM101" s="102"/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15.75" customHeight="1">
      <c r="A102" s="44"/>
      <c r="B102" s="44"/>
      <c r="C102" s="103"/>
      <c r="D102" s="44"/>
      <c r="E102" s="44"/>
      <c r="F102" s="44"/>
      <c r="G102" s="44"/>
      <c r="H102" s="44"/>
      <c r="I102" s="44"/>
      <c r="J102" s="44"/>
      <c r="K102" s="44"/>
      <c r="L102" s="104"/>
      <c r="M102" s="104"/>
      <c r="N102" s="104"/>
      <c r="O102" s="105"/>
      <c r="P102" s="105"/>
      <c r="Q102" s="44"/>
      <c r="R102" s="104"/>
      <c r="S102" s="104"/>
      <c r="T102" s="105"/>
      <c r="U102" s="105"/>
      <c r="V102" s="105"/>
      <c r="W102" s="105"/>
      <c r="X102" s="44"/>
      <c r="Y102" s="104"/>
      <c r="Z102" s="104"/>
      <c r="AA102" s="104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6"/>
      <c r="AM102" s="107"/>
    </row>
  </sheetData>
  <customSheetViews>
    <customSheetView guid="{53D55F53-C764-4421-A3EC-48DE59138C30}" filter="1" showAutoFilter="1">
      <autoFilter ref="$D$2:$BF$101"/>
    </customSheetView>
  </customSheetViews>
  <conditionalFormatting sqref="P3">
    <cfRule type="expression" dxfId="0" priority="1">
      <formula>SUM(T3:W3)&lt;&gt;P3</formula>
    </cfRule>
  </conditionalFormatting>
  <conditionalFormatting sqref="P4:P99 P101">
    <cfRule type="expression" dxfId="0" priority="2">
      <formula>SUM(T4:W4)&lt;&gt;P4</formula>
    </cfRule>
  </conditionalFormatting>
  <conditionalFormatting sqref="P100">
    <cfRule type="expression" dxfId="0" priority="3">
      <formula>SUM(T100:W100)&lt;&gt;P100</formula>
    </cfRule>
  </conditionalFormatting>
  <dataValidations>
    <dataValidation type="list" allowBlank="1" sqref="AF3:AF101">
      <formula1>l_Poli</formula1>
    </dataValidation>
    <dataValidation type="custom" allowBlank="1" showDropDown="1" sqref="AL3:AL101">
      <formula1>OR(NOT(ISERROR(DATEVALUE(AL3))), AND(ISNUMBER(AL3), LEFT(CELL("format", AL3))="D"))</formula1>
    </dataValidation>
    <dataValidation type="list" allowBlank="1" sqref="S3:S101">
      <formula1>L_Ind_Peri</formula1>
    </dataValidation>
    <dataValidation type="list" allowBlank="1" sqref="AG3:AG101">
      <formula1>l_ODS</formula1>
    </dataValidation>
    <dataValidation type="list" allowBlank="1" sqref="D3:D101">
      <formula1>L_Area</formula1>
    </dataValidation>
    <dataValidation type="list" allowBlank="1" showInputMessage="1" showErrorMessage="1" prompt="Seleccionar producto valido para el proyecto" sqref="J3:J101">
      <formula1>AY3:BD3</formula1>
    </dataValidation>
    <dataValidation type="list" allowBlank="1" showInputMessage="1" showErrorMessage="1" prompt="Seleccionar producto valido para el proyecto" sqref="H3:H101">
      <formula1>AO3:AQ3</formula1>
    </dataValidation>
    <dataValidation type="list" allowBlank="1" sqref="L3:L101">
      <formula1>L_Cat</formula1>
    </dataValidation>
    <dataValidation type="list" allowBlank="1" sqref="AC3:AC101">
      <formula1>l_Clas</formula1>
    </dataValidation>
    <dataValidation type="list" allowBlank="1" sqref="AE3:AE101">
      <formula1>l_Dim</formula1>
    </dataValidation>
    <dataValidation type="list" allowBlank="1" sqref="AJ3:AK13 AK14:AK101">
      <formula1>#REF!</formula1>
    </dataValidation>
    <dataValidation type="list" allowBlank="1" sqref="E3:E101">
      <formula1>L_Proy</formula1>
    </dataValidation>
    <dataValidation type="list" allowBlank="1" sqref="K3:K101">
      <formula1>L_Ind_Tipo</formula1>
    </dataValidation>
    <dataValidation type="list" allowBlank="1" sqref="AH3:AH101">
      <formula1>L_Dere</formula1>
    </dataValidation>
    <dataValidation type="list" allowBlank="1" showErrorMessage="1" sqref="C3:C101">
      <formula1>L_Proc</formula1>
    </dataValidation>
    <dataValidation type="list" allowBlank="1" sqref="M3:M101">
      <formula1>L_Uni</formula1>
    </dataValidation>
    <dataValidation type="list" allowBlank="1" sqref="AD3:AD101">
      <formula1>l_ObjIns</formula1>
    </dataValidation>
    <dataValidation type="list" allowBlank="1" showInputMessage="1" showErrorMessage="1" prompt="Seleccionar producto valido para el proyecto" sqref="I3:I101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218</v>
      </c>
      <c r="D3" s="64" t="s">
        <v>78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335</v>
      </c>
      <c r="K3" s="66" t="s">
        <v>112</v>
      </c>
      <c r="L3" s="67" t="s">
        <v>91</v>
      </c>
      <c r="M3" s="67" t="s">
        <v>61</v>
      </c>
      <c r="N3" s="67" t="s">
        <v>668</v>
      </c>
      <c r="O3" s="68"/>
      <c r="P3" s="109">
        <v>1.0</v>
      </c>
      <c r="Q3" s="70" t="s">
        <v>669</v>
      </c>
      <c r="R3" s="71" t="s">
        <v>670</v>
      </c>
      <c r="S3" s="71" t="s">
        <v>44</v>
      </c>
      <c r="T3" s="109">
        <v>1.0</v>
      </c>
      <c r="U3" s="109">
        <v>0.0</v>
      </c>
      <c r="V3" s="109">
        <v>0.0</v>
      </c>
      <c r="W3" s="109">
        <v>0.0</v>
      </c>
      <c r="X3" s="70" t="s">
        <v>78</v>
      </c>
      <c r="Y3" s="71" t="s">
        <v>671</v>
      </c>
      <c r="Z3" s="71" t="s">
        <v>672</v>
      </c>
      <c r="AA3" s="71" t="s">
        <v>673</v>
      </c>
      <c r="AB3" s="72" t="s">
        <v>54</v>
      </c>
      <c r="AC3" s="63" t="s">
        <v>302</v>
      </c>
      <c r="AD3" s="63" t="s">
        <v>114</v>
      </c>
      <c r="AE3" s="63" t="s">
        <v>85</v>
      </c>
      <c r="AF3" s="63" t="s">
        <v>291</v>
      </c>
      <c r="AG3" s="63" t="s">
        <v>322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218</v>
      </c>
      <c r="D4" s="64" t="s">
        <v>78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335</v>
      </c>
      <c r="K4" s="66" t="s">
        <v>112</v>
      </c>
      <c r="L4" s="67" t="s">
        <v>91</v>
      </c>
      <c r="M4" s="67" t="s">
        <v>61</v>
      </c>
      <c r="N4" s="67" t="s">
        <v>674</v>
      </c>
      <c r="O4" s="81"/>
      <c r="P4" s="109">
        <v>1.0</v>
      </c>
      <c r="Q4" s="70" t="s">
        <v>675</v>
      </c>
      <c r="R4" s="71" t="s">
        <v>676</v>
      </c>
      <c r="S4" s="71" t="s">
        <v>44</v>
      </c>
      <c r="T4" s="109">
        <v>1.0</v>
      </c>
      <c r="U4" s="109">
        <v>0.0</v>
      </c>
      <c r="V4" s="109">
        <v>0.0</v>
      </c>
      <c r="W4" s="109">
        <v>0.0</v>
      </c>
      <c r="X4" s="70" t="s">
        <v>78</v>
      </c>
      <c r="Y4" s="71" t="s">
        <v>671</v>
      </c>
      <c r="Z4" s="71" t="s">
        <v>672</v>
      </c>
      <c r="AA4" s="71" t="s">
        <v>673</v>
      </c>
      <c r="AB4" s="72" t="s">
        <v>54</v>
      </c>
      <c r="AC4" s="63" t="s">
        <v>231</v>
      </c>
      <c r="AD4" s="63" t="s">
        <v>114</v>
      </c>
      <c r="AE4" s="63" t="s">
        <v>85</v>
      </c>
      <c r="AF4" s="63" t="s">
        <v>291</v>
      </c>
      <c r="AG4" s="63" t="s">
        <v>322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218</v>
      </c>
      <c r="D5" s="64" t="s">
        <v>78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243</v>
      </c>
      <c r="J5" s="66" t="s">
        <v>335</v>
      </c>
      <c r="K5" s="66" t="s">
        <v>112</v>
      </c>
      <c r="L5" s="67" t="s">
        <v>91</v>
      </c>
      <c r="M5" s="67" t="s">
        <v>61</v>
      </c>
      <c r="N5" s="67" t="s">
        <v>677</v>
      </c>
      <c r="O5" s="81"/>
      <c r="P5" s="109">
        <v>4.0</v>
      </c>
      <c r="Q5" s="70" t="s">
        <v>678</v>
      </c>
      <c r="R5" s="71" t="s">
        <v>679</v>
      </c>
      <c r="S5" s="71" t="s">
        <v>137</v>
      </c>
      <c r="T5" s="109">
        <v>1.0</v>
      </c>
      <c r="U5" s="109">
        <v>1.0</v>
      </c>
      <c r="V5" s="109">
        <v>1.0</v>
      </c>
      <c r="W5" s="109">
        <v>1.0</v>
      </c>
      <c r="X5" s="70" t="s">
        <v>78</v>
      </c>
      <c r="Y5" s="71" t="s">
        <v>671</v>
      </c>
      <c r="Z5" s="71" t="s">
        <v>672</v>
      </c>
      <c r="AA5" s="71" t="s">
        <v>673</v>
      </c>
      <c r="AB5" s="72" t="s">
        <v>54</v>
      </c>
      <c r="AC5" s="63" t="s">
        <v>302</v>
      </c>
      <c r="AD5" s="63" t="s">
        <v>114</v>
      </c>
      <c r="AE5" s="63" t="s">
        <v>143</v>
      </c>
      <c r="AF5" s="63" t="s">
        <v>314</v>
      </c>
      <c r="AG5" s="63" t="s">
        <v>322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Optimizar la gestión administrativa, operativa, de planeación, seguimiento y control de la Entidad, para mejorar el desempeño institucional y la prestación del servicio a nivel nacional</v>
      </c>
      <c r="AZ5" s="80" t="s">
        <v>334</v>
      </c>
      <c r="BA5" s="80" t="s">
        <v>335</v>
      </c>
      <c r="BB5" s="80" t="s">
        <v>336</v>
      </c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218</v>
      </c>
      <c r="D6" s="64" t="s">
        <v>78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153</v>
      </c>
      <c r="I6" s="66" t="s">
        <v>243</v>
      </c>
      <c r="J6" s="66" t="s">
        <v>335</v>
      </c>
      <c r="K6" s="66" t="s">
        <v>112</v>
      </c>
      <c r="L6" s="67" t="s">
        <v>91</v>
      </c>
      <c r="M6" s="67" t="s">
        <v>92</v>
      </c>
      <c r="N6" s="67" t="s">
        <v>680</v>
      </c>
      <c r="O6" s="81"/>
      <c r="P6" s="109">
        <v>1.0</v>
      </c>
      <c r="Q6" s="70" t="s">
        <v>681</v>
      </c>
      <c r="R6" s="71" t="s">
        <v>682</v>
      </c>
      <c r="S6" s="71" t="s">
        <v>44</v>
      </c>
      <c r="T6" s="109">
        <v>0.0</v>
      </c>
      <c r="U6" s="109">
        <v>0.0</v>
      </c>
      <c r="V6" s="109">
        <v>0.0</v>
      </c>
      <c r="W6" s="109">
        <v>1.0</v>
      </c>
      <c r="X6" s="70" t="s">
        <v>78</v>
      </c>
      <c r="Y6" s="71" t="s">
        <v>671</v>
      </c>
      <c r="Z6" s="71" t="s">
        <v>672</v>
      </c>
      <c r="AA6" s="71" t="s">
        <v>673</v>
      </c>
      <c r="AB6" s="72" t="s">
        <v>54</v>
      </c>
      <c r="AC6" s="63" t="s">
        <v>302</v>
      </c>
      <c r="AD6" s="63" t="s">
        <v>114</v>
      </c>
      <c r="AE6" s="63" t="s">
        <v>85</v>
      </c>
      <c r="AF6" s="63" t="s">
        <v>291</v>
      </c>
      <c r="AG6" s="63" t="s">
        <v>322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 de Educación Informal para la Gestión Administrativa</v>
      </c>
      <c r="AT6" s="80" t="s">
        <v>242</v>
      </c>
      <c r="AU6" s="80" t="s">
        <v>243</v>
      </c>
      <c r="AV6" s="80"/>
      <c r="AW6" s="80"/>
      <c r="AX6" s="79"/>
      <c r="AY6" s="78" t="str">
        <f t="array" ref="AY6:BD6">INDEX(R_Pro__Act,MATCH(I6,L_Prod,0))</f>
        <v>Optimizar la gestión administrativa, operativa, de planeación, seguimiento y control de la Entidad, para mejorar el desempeño institucional y la prestación del servicio a nivel nacional</v>
      </c>
      <c r="AZ6" s="80" t="s">
        <v>334</v>
      </c>
      <c r="BA6" s="80" t="s">
        <v>335</v>
      </c>
      <c r="BB6" s="80" t="s">
        <v>336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218</v>
      </c>
      <c r="D7" s="64" t="s">
        <v>78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153</v>
      </c>
      <c r="I7" s="66" t="s">
        <v>243</v>
      </c>
      <c r="J7" s="66" t="s">
        <v>336</v>
      </c>
      <c r="K7" s="66" t="s">
        <v>112</v>
      </c>
      <c r="L7" s="67" t="s">
        <v>91</v>
      </c>
      <c r="M7" s="67" t="s">
        <v>61</v>
      </c>
      <c r="N7" s="67" t="s">
        <v>683</v>
      </c>
      <c r="O7" s="81"/>
      <c r="P7" s="109">
        <v>3.0</v>
      </c>
      <c r="Q7" s="70" t="s">
        <v>684</v>
      </c>
      <c r="R7" s="71" t="s">
        <v>685</v>
      </c>
      <c r="S7" s="71" t="s">
        <v>137</v>
      </c>
      <c r="T7" s="109">
        <v>0.0</v>
      </c>
      <c r="U7" s="109">
        <v>0.0</v>
      </c>
      <c r="V7" s="109">
        <v>2.0</v>
      </c>
      <c r="W7" s="109">
        <v>1.0</v>
      </c>
      <c r="X7" s="70" t="s">
        <v>78</v>
      </c>
      <c r="Y7" s="71" t="s">
        <v>671</v>
      </c>
      <c r="Z7" s="71" t="s">
        <v>672</v>
      </c>
      <c r="AA7" s="71" t="s">
        <v>673</v>
      </c>
      <c r="AB7" s="72" t="s">
        <v>54</v>
      </c>
      <c r="AC7" s="63" t="s">
        <v>302</v>
      </c>
      <c r="AD7" s="63" t="s">
        <v>114</v>
      </c>
      <c r="AE7" s="63" t="s">
        <v>85</v>
      </c>
      <c r="AF7" s="63" t="s">
        <v>291</v>
      </c>
      <c r="AG7" s="63" t="s">
        <v>322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 de Educación Informal para la Gestión Administrativa</v>
      </c>
      <c r="AT7" s="80" t="s">
        <v>242</v>
      </c>
      <c r="AU7" s="80" t="s">
        <v>243</v>
      </c>
      <c r="AV7" s="80"/>
      <c r="AW7" s="80"/>
      <c r="AX7" s="79"/>
      <c r="AY7" s="78" t="str">
        <f t="array" ref="AY7:BD7">INDEX(R_Pro__Act,MATCH(I7,L_Prod,0))</f>
        <v>Optimizar la gestión administrativa, operativa, de planeación, seguimiento y control de la Entidad, para mejorar el desempeño institucional y la prestación del servicio a nivel nacional</v>
      </c>
      <c r="AZ7" s="80" t="s">
        <v>334</v>
      </c>
      <c r="BA7" s="80" t="s">
        <v>335</v>
      </c>
      <c r="BB7" s="80" t="s">
        <v>336</v>
      </c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218</v>
      </c>
      <c r="D8" s="64" t="s">
        <v>78</v>
      </c>
      <c r="E8" s="64" t="s">
        <v>150</v>
      </c>
      <c r="F8" s="65">
        <f>IF(ISBLANK(E8),"",VLOOKUP(E8,R_Inf_Proy,2,0))</f>
        <v>2018011000241</v>
      </c>
      <c r="G8" s="65" t="str">
        <f>IF(ISBLANK(E8),"",VLOOKUP(E8,R_Inf_Proy,3,0))</f>
        <v>Fortalecimiento</v>
      </c>
      <c r="H8" s="66" t="s">
        <v>153</v>
      </c>
      <c r="I8" s="66" t="s">
        <v>243</v>
      </c>
      <c r="J8" s="66" t="s">
        <v>335</v>
      </c>
      <c r="K8" s="66" t="s">
        <v>112</v>
      </c>
      <c r="L8" s="67" t="s">
        <v>91</v>
      </c>
      <c r="M8" s="67" t="s">
        <v>61</v>
      </c>
      <c r="N8" s="67" t="s">
        <v>686</v>
      </c>
      <c r="O8" s="81"/>
      <c r="P8" s="109">
        <v>1.0</v>
      </c>
      <c r="Q8" s="70" t="s">
        <v>687</v>
      </c>
      <c r="R8" s="71" t="s">
        <v>688</v>
      </c>
      <c r="S8" s="71" t="s">
        <v>44</v>
      </c>
      <c r="T8" s="109">
        <v>0.0</v>
      </c>
      <c r="U8" s="109">
        <v>0.0</v>
      </c>
      <c r="V8" s="109">
        <v>0.0</v>
      </c>
      <c r="W8" s="109">
        <v>1.0</v>
      </c>
      <c r="X8" s="70" t="s">
        <v>78</v>
      </c>
      <c r="Y8" s="71" t="s">
        <v>671</v>
      </c>
      <c r="Z8" s="71" t="s">
        <v>672</v>
      </c>
      <c r="AA8" s="71" t="s">
        <v>673</v>
      </c>
      <c r="AB8" s="72" t="s">
        <v>54</v>
      </c>
      <c r="AC8" s="63" t="s">
        <v>302</v>
      </c>
      <c r="AD8" s="63" t="s">
        <v>114</v>
      </c>
      <c r="AE8" s="63" t="s">
        <v>143</v>
      </c>
      <c r="AF8" s="63" t="s">
        <v>314</v>
      </c>
      <c r="AG8" s="63" t="s">
        <v>322</v>
      </c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sistemas de gestión de la Entidad</v>
      </c>
      <c r="AP8" s="78" t="s">
        <v>154</v>
      </c>
      <c r="AQ8" s="78" t="s">
        <v>155</v>
      </c>
      <c r="AR8" s="79"/>
      <c r="AS8" s="78" t="str">
        <f t="array" ref="AS8:AV8">INDEX(R_ObjEsp__Prod,MATCH(H8,L_ObjEsp,0))</f>
        <v>Servicio de Educación Informal para la Gestión Administrativa</v>
      </c>
      <c r="AT8" s="80" t="s">
        <v>242</v>
      </c>
      <c r="AU8" s="80" t="s">
        <v>243</v>
      </c>
      <c r="AV8" s="80"/>
      <c r="AW8" s="80"/>
      <c r="AX8" s="79"/>
      <c r="AY8" s="78" t="str">
        <f t="array" ref="AY8:BD8">INDEX(R_Pro__Act,MATCH(I8,L_Prod,0))</f>
        <v>Optimizar la gestión administrativa, operativa, de planeación, seguimiento y control de la Entidad, para mejorar el desempeño institucional y la prestación del servicio a nivel nacional</v>
      </c>
      <c r="AZ8" s="80" t="s">
        <v>334</v>
      </c>
      <c r="BA8" s="80" t="s">
        <v>335</v>
      </c>
      <c r="BB8" s="80" t="s">
        <v>336</v>
      </c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218</v>
      </c>
      <c r="D9" s="64" t="s">
        <v>78</v>
      </c>
      <c r="E9" s="64" t="s">
        <v>150</v>
      </c>
      <c r="F9" s="65">
        <f>IF(ISBLANK(E9),"",VLOOKUP(E9,R_Inf_Proy,2,0))</f>
        <v>2018011000241</v>
      </c>
      <c r="G9" s="65" t="str">
        <f>IF(ISBLANK(E9),"",VLOOKUP(E9,R_Inf_Proy,3,0))</f>
        <v>Fortalecimiento</v>
      </c>
      <c r="H9" s="66" t="s">
        <v>153</v>
      </c>
      <c r="I9" s="66" t="s">
        <v>243</v>
      </c>
      <c r="J9" s="66" t="s">
        <v>335</v>
      </c>
      <c r="K9" s="66" t="s">
        <v>112</v>
      </c>
      <c r="L9" s="67" t="s">
        <v>91</v>
      </c>
      <c r="M9" s="67" t="s">
        <v>61</v>
      </c>
      <c r="N9" s="67" t="s">
        <v>689</v>
      </c>
      <c r="O9" s="84"/>
      <c r="P9" s="109">
        <v>7.0</v>
      </c>
      <c r="Q9" s="70" t="s">
        <v>690</v>
      </c>
      <c r="R9" s="71" t="s">
        <v>691</v>
      </c>
      <c r="S9" s="71" t="s">
        <v>137</v>
      </c>
      <c r="T9" s="109">
        <v>1.0</v>
      </c>
      <c r="U9" s="109">
        <v>0.0</v>
      </c>
      <c r="V9" s="109">
        <v>2.0</v>
      </c>
      <c r="W9" s="109">
        <v>4.0</v>
      </c>
      <c r="X9" s="70" t="s">
        <v>78</v>
      </c>
      <c r="Y9" s="71" t="s">
        <v>671</v>
      </c>
      <c r="Z9" s="71" t="s">
        <v>672</v>
      </c>
      <c r="AA9" s="71" t="s">
        <v>673</v>
      </c>
      <c r="AB9" s="72" t="s">
        <v>54</v>
      </c>
      <c r="AC9" s="63" t="s">
        <v>302</v>
      </c>
      <c r="AD9" s="63" t="s">
        <v>114</v>
      </c>
      <c r="AE9" s="63" t="s">
        <v>85</v>
      </c>
      <c r="AF9" s="63" t="s">
        <v>291</v>
      </c>
      <c r="AG9" s="63" t="s">
        <v>322</v>
      </c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sistemas de gestión de la Entidad</v>
      </c>
      <c r="AP9" s="78" t="s">
        <v>154</v>
      </c>
      <c r="AQ9" s="78" t="s">
        <v>155</v>
      </c>
      <c r="AR9" s="79"/>
      <c r="AS9" s="78" t="str">
        <f t="array" ref="AS9:AV9">INDEX(R_ObjEsp__Prod,MATCH(H9,L_ObjEsp,0))</f>
        <v>Servicio de Educación Informal para la Gestión Administrativa</v>
      </c>
      <c r="AT9" s="80" t="s">
        <v>242</v>
      </c>
      <c r="AU9" s="80" t="s">
        <v>243</v>
      </c>
      <c r="AV9" s="80"/>
      <c r="AW9" s="80"/>
      <c r="AX9" s="79"/>
      <c r="AY9" s="78" t="str">
        <f t="array" ref="AY9:BD9">INDEX(R_Pro__Act,MATCH(I9,L_Prod,0))</f>
        <v>Optimizar la gestión administrativa, operativa, de planeación, seguimiento y control de la Entidad, para mejorar el desempeño institucional y la prestación del servicio a nivel nacional</v>
      </c>
      <c r="AZ9" s="80" t="s">
        <v>334</v>
      </c>
      <c r="BA9" s="80" t="s">
        <v>335</v>
      </c>
      <c r="BB9" s="80" t="s">
        <v>336</v>
      </c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218</v>
      </c>
      <c r="D10" s="64" t="s">
        <v>78</v>
      </c>
      <c r="E10" s="64" t="s">
        <v>150</v>
      </c>
      <c r="F10" s="65">
        <f>IF(ISBLANK(E10),"",VLOOKUP(E10,R_Inf_Proy,2,0))</f>
        <v>2018011000241</v>
      </c>
      <c r="G10" s="65" t="str">
        <f>IF(ISBLANK(E10),"",VLOOKUP(E10,R_Inf_Proy,3,0))</f>
        <v>Fortalecimiento</v>
      </c>
      <c r="H10" s="66" t="s">
        <v>153</v>
      </c>
      <c r="I10" s="66" t="s">
        <v>243</v>
      </c>
      <c r="J10" s="66" t="s">
        <v>335</v>
      </c>
      <c r="K10" s="66" t="s">
        <v>112</v>
      </c>
      <c r="L10" s="67" t="s">
        <v>91</v>
      </c>
      <c r="M10" s="67" t="s">
        <v>61</v>
      </c>
      <c r="N10" s="67" t="s">
        <v>692</v>
      </c>
      <c r="O10" s="81"/>
      <c r="P10" s="109">
        <v>4.0</v>
      </c>
      <c r="Q10" s="70" t="s">
        <v>693</v>
      </c>
      <c r="R10" s="71" t="s">
        <v>691</v>
      </c>
      <c r="S10" s="71" t="s">
        <v>137</v>
      </c>
      <c r="T10" s="109">
        <v>0.0</v>
      </c>
      <c r="U10" s="109">
        <v>0.0</v>
      </c>
      <c r="V10" s="109">
        <v>2.0</v>
      </c>
      <c r="W10" s="109">
        <v>2.0</v>
      </c>
      <c r="X10" s="70" t="s">
        <v>78</v>
      </c>
      <c r="Y10" s="71" t="s">
        <v>671</v>
      </c>
      <c r="Z10" s="71" t="s">
        <v>672</v>
      </c>
      <c r="AA10" s="71" t="s">
        <v>673</v>
      </c>
      <c r="AB10" s="72" t="s">
        <v>54</v>
      </c>
      <c r="AC10" s="63" t="s">
        <v>302</v>
      </c>
      <c r="AD10" s="63" t="s">
        <v>114</v>
      </c>
      <c r="AE10" s="63" t="s">
        <v>85</v>
      </c>
      <c r="AF10" s="63" t="s">
        <v>291</v>
      </c>
      <c r="AG10" s="63" t="s">
        <v>322</v>
      </c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:AQ10">INDEX(R_Proy__ObjEsp,MATCH(E10,L_Proy,0))</f>
        <v>Fortalecer los sistemas de gestión de la Entidad</v>
      </c>
      <c r="AP10" s="78" t="s">
        <v>154</v>
      </c>
      <c r="AQ10" s="78" t="s">
        <v>155</v>
      </c>
      <c r="AR10" s="79"/>
      <c r="AS10" s="78" t="str">
        <f t="array" ref="AS10:AV10">INDEX(R_ObjEsp__Prod,MATCH(H10,L_ObjEsp,0))</f>
        <v>Servicio de Educación Informal para la Gestión Administrativa</v>
      </c>
      <c r="AT10" s="80" t="s">
        <v>242</v>
      </c>
      <c r="AU10" s="80" t="s">
        <v>243</v>
      </c>
      <c r="AV10" s="80"/>
      <c r="AW10" s="80"/>
      <c r="AX10" s="79"/>
      <c r="AY10" s="78" t="str">
        <f t="array" ref="AY10:BD10">INDEX(R_Pro__Act,MATCH(I10,L_Prod,0))</f>
        <v>Optimizar la gestión administrativa, operativa, de planeación, seguimiento y control de la Entidad, para mejorar el desempeño institucional y la prestación del servicio a nivel nacional</v>
      </c>
      <c r="AZ10" s="80" t="s">
        <v>334</v>
      </c>
      <c r="BA10" s="80" t="s">
        <v>335</v>
      </c>
      <c r="BB10" s="80" t="s">
        <v>336</v>
      </c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59</v>
      </c>
      <c r="D3" s="64" t="s">
        <v>298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155</v>
      </c>
      <c r="I3" s="66" t="s">
        <v>275</v>
      </c>
      <c r="J3" s="66" t="s">
        <v>351</v>
      </c>
      <c r="K3" s="66" t="s">
        <v>112</v>
      </c>
      <c r="L3" s="67" t="s">
        <v>60</v>
      </c>
      <c r="M3" s="67" t="s">
        <v>61</v>
      </c>
      <c r="N3" s="67" t="s">
        <v>694</v>
      </c>
      <c r="O3" s="68">
        <v>1.0</v>
      </c>
      <c r="P3" s="109">
        <v>1.0</v>
      </c>
      <c r="Q3" s="70" t="s">
        <v>695</v>
      </c>
      <c r="R3" s="71" t="s">
        <v>696</v>
      </c>
      <c r="S3" s="71" t="s">
        <v>44</v>
      </c>
      <c r="T3" s="109">
        <v>0.0</v>
      </c>
      <c r="U3" s="109">
        <v>0.0</v>
      </c>
      <c r="V3" s="109">
        <v>0.0</v>
      </c>
      <c r="W3" s="109">
        <v>1.0</v>
      </c>
      <c r="X3" s="70" t="s">
        <v>298</v>
      </c>
      <c r="Y3" s="71" t="s">
        <v>646</v>
      </c>
      <c r="Z3" s="71" t="s">
        <v>355</v>
      </c>
      <c r="AA3" s="71" t="s">
        <v>648</v>
      </c>
      <c r="AB3" s="72" t="s">
        <v>649</v>
      </c>
      <c r="AC3" s="63" t="s">
        <v>248</v>
      </c>
      <c r="AD3" s="63" t="s">
        <v>84</v>
      </c>
      <c r="AE3" s="63" t="s">
        <v>187</v>
      </c>
      <c r="AF3" s="63" t="s">
        <v>321</v>
      </c>
      <c r="AG3" s="63" t="s">
        <v>233</v>
      </c>
      <c r="AH3" s="63"/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Servicios tecnológicos</v>
      </c>
      <c r="AT3" s="80"/>
      <c r="AU3" s="80"/>
      <c r="AV3" s="80"/>
      <c r="AW3" s="80"/>
      <c r="AX3" s="79"/>
      <c r="AY3" s="78" t="str">
        <f t="array" ref="AY3:BD3">INDEX(R_Pro__Act,MATCH(I3,L_Prod,0))</f>
        <v>Actualizar la infraestructura (hardware y software) de servicios, para soportar la gestión de los procesos de entidad</v>
      </c>
      <c r="AZ3" s="80" t="s">
        <v>351</v>
      </c>
      <c r="BA3" s="80" t="s">
        <v>352</v>
      </c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59</v>
      </c>
      <c r="D4" s="64" t="s">
        <v>298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155</v>
      </c>
      <c r="I4" s="66" t="s">
        <v>275</v>
      </c>
      <c r="J4" s="66" t="s">
        <v>350</v>
      </c>
      <c r="K4" s="66" t="s">
        <v>112</v>
      </c>
      <c r="L4" s="67" t="s">
        <v>60</v>
      </c>
      <c r="M4" s="67" t="s">
        <v>61</v>
      </c>
      <c r="N4" s="67" t="s">
        <v>697</v>
      </c>
      <c r="O4" s="68">
        <v>1.0</v>
      </c>
      <c r="P4" s="109">
        <v>1.0</v>
      </c>
      <c r="Q4" s="70" t="s">
        <v>698</v>
      </c>
      <c r="R4" s="71" t="str">
        <f>R3</f>
        <v>Lista</v>
      </c>
      <c r="S4" s="71" t="s">
        <v>44</v>
      </c>
      <c r="T4" s="109">
        <v>0.0</v>
      </c>
      <c r="U4" s="109">
        <v>0.0</v>
      </c>
      <c r="V4" s="109">
        <v>0.0</v>
      </c>
      <c r="W4" s="109">
        <v>1.0</v>
      </c>
      <c r="X4" s="70" t="s">
        <v>298</v>
      </c>
      <c r="Y4" s="71" t="s">
        <v>646</v>
      </c>
      <c r="Z4" s="71" t="s">
        <v>355</v>
      </c>
      <c r="AA4" s="71" t="s">
        <v>648</v>
      </c>
      <c r="AB4" s="72" t="s">
        <v>649</v>
      </c>
      <c r="AC4" s="63" t="s">
        <v>248</v>
      </c>
      <c r="AD4" s="63" t="s">
        <v>84</v>
      </c>
      <c r="AE4" s="63" t="s">
        <v>187</v>
      </c>
      <c r="AF4" s="63" t="s">
        <v>321</v>
      </c>
      <c r="AG4" s="63" t="s">
        <v>233</v>
      </c>
      <c r="AH4" s="63"/>
      <c r="AI4" s="73"/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Servicios tecnológicos</v>
      </c>
      <c r="AT4" s="80"/>
      <c r="AU4" s="80"/>
      <c r="AV4" s="80"/>
      <c r="AW4" s="80"/>
      <c r="AX4" s="79"/>
      <c r="AY4" s="78" t="str">
        <f t="array" ref="AY4:BD4">INDEX(R_Pro__Act,MATCH(I4,L_Prod,0))</f>
        <v>Actualizar la infraestructura (hardware y software) de servicios, para soportar la gestión de los procesos de entidad</v>
      </c>
      <c r="AZ4" s="80" t="s">
        <v>351</v>
      </c>
      <c r="BA4" s="80" t="s">
        <v>352</v>
      </c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59</v>
      </c>
      <c r="D5" s="64" t="s">
        <v>298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155</v>
      </c>
      <c r="I5" s="66" t="s">
        <v>275</v>
      </c>
      <c r="J5" s="66" t="s">
        <v>351</v>
      </c>
      <c r="K5" s="66" t="s">
        <v>112</v>
      </c>
      <c r="L5" s="67" t="s">
        <v>60</v>
      </c>
      <c r="M5" s="67" t="s">
        <v>61</v>
      </c>
      <c r="N5" s="67" t="s">
        <v>699</v>
      </c>
      <c r="O5" s="68">
        <v>2.0</v>
      </c>
      <c r="P5" s="109">
        <v>2.0</v>
      </c>
      <c r="Q5" s="70" t="s">
        <v>700</v>
      </c>
      <c r="R5" s="71" t="s">
        <v>645</v>
      </c>
      <c r="S5" s="71" t="s">
        <v>137</v>
      </c>
      <c r="T5" s="109">
        <v>0.0</v>
      </c>
      <c r="U5" s="109">
        <v>0.0</v>
      </c>
      <c r="V5" s="109">
        <v>2.0</v>
      </c>
      <c r="W5" s="109">
        <v>0.0</v>
      </c>
      <c r="X5" s="70" t="s">
        <v>298</v>
      </c>
      <c r="Y5" s="71" t="s">
        <v>646</v>
      </c>
      <c r="Z5" s="71" t="s">
        <v>355</v>
      </c>
      <c r="AA5" s="71" t="s">
        <v>648</v>
      </c>
      <c r="AB5" s="72" t="s">
        <v>649</v>
      </c>
      <c r="AC5" s="63" t="s">
        <v>248</v>
      </c>
      <c r="AD5" s="63" t="s">
        <v>84</v>
      </c>
      <c r="AE5" s="63" t="s">
        <v>187</v>
      </c>
      <c r="AF5" s="63" t="s">
        <v>321</v>
      </c>
      <c r="AG5" s="63" t="s">
        <v>233</v>
      </c>
      <c r="AH5" s="63"/>
      <c r="AI5" s="73"/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Servicios tecnológicos</v>
      </c>
      <c r="AT5" s="80"/>
      <c r="AU5" s="80"/>
      <c r="AV5" s="80"/>
      <c r="AW5" s="80"/>
      <c r="AX5" s="79"/>
      <c r="AY5" s="78" t="str">
        <f t="array" ref="AY5:BD5">INDEX(R_Pro__Act,MATCH(I5,L_Prod,0))</f>
        <v>Actualizar la infraestructura (hardware y software) de servicios, para soportar la gestión de los procesos de entidad</v>
      </c>
      <c r="AZ5" s="80" t="s">
        <v>351</v>
      </c>
      <c r="BA5" s="80" t="s">
        <v>352</v>
      </c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59</v>
      </c>
      <c r="D6" s="64" t="s">
        <v>298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155</v>
      </c>
      <c r="I6" s="66" t="s">
        <v>275</v>
      </c>
      <c r="J6" s="66" t="s">
        <v>351</v>
      </c>
      <c r="K6" s="66" t="s">
        <v>112</v>
      </c>
      <c r="L6" s="67" t="s">
        <v>60</v>
      </c>
      <c r="M6" s="67" t="s">
        <v>61</v>
      </c>
      <c r="N6" s="67" t="s">
        <v>699</v>
      </c>
      <c r="O6" s="68">
        <v>2.0</v>
      </c>
      <c r="P6" s="109">
        <v>2.0</v>
      </c>
      <c r="Q6" s="70" t="s">
        <v>701</v>
      </c>
      <c r="R6" s="71" t="s">
        <v>645</v>
      </c>
      <c r="S6" s="71" t="s">
        <v>137</v>
      </c>
      <c r="T6" s="109">
        <v>0.0</v>
      </c>
      <c r="U6" s="109">
        <v>1.0</v>
      </c>
      <c r="V6" s="109">
        <v>1.0</v>
      </c>
      <c r="W6" s="109">
        <v>0.0</v>
      </c>
      <c r="X6" s="70" t="s">
        <v>298</v>
      </c>
      <c r="Y6" s="71" t="s">
        <v>646</v>
      </c>
      <c r="Z6" s="71" t="s">
        <v>355</v>
      </c>
      <c r="AA6" s="71" t="s">
        <v>648</v>
      </c>
      <c r="AB6" s="72" t="s">
        <v>649</v>
      </c>
      <c r="AC6" s="63" t="s">
        <v>248</v>
      </c>
      <c r="AD6" s="63" t="s">
        <v>84</v>
      </c>
      <c r="AE6" s="63" t="s">
        <v>187</v>
      </c>
      <c r="AF6" s="63" t="s">
        <v>321</v>
      </c>
      <c r="AG6" s="63" t="s">
        <v>233</v>
      </c>
      <c r="AH6" s="63"/>
      <c r="AI6" s="73"/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Servicios tecnológicos</v>
      </c>
      <c r="AT6" s="80"/>
      <c r="AU6" s="80"/>
      <c r="AV6" s="80"/>
      <c r="AW6" s="80"/>
      <c r="AX6" s="79"/>
      <c r="AY6" s="78" t="str">
        <f t="array" ref="AY6:BD6">INDEX(R_Pro__Act,MATCH(I6,L_Prod,0))</f>
        <v>Actualizar la infraestructura (hardware y software) de servicios, para soportar la gestión de los procesos de entidad</v>
      </c>
      <c r="AZ6" s="80" t="s">
        <v>351</v>
      </c>
      <c r="BA6" s="80" t="s">
        <v>352</v>
      </c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59</v>
      </c>
      <c r="D7" s="64" t="s">
        <v>298</v>
      </c>
      <c r="E7" s="64" t="s">
        <v>150</v>
      </c>
      <c r="F7" s="65">
        <f>IF(ISBLANK(E7),"",VLOOKUP(E7,R_Inf_Proy,2,0))</f>
        <v>2018011000241</v>
      </c>
      <c r="G7" s="65" t="str">
        <f>IF(ISBLANK(E7),"",VLOOKUP(E7,R_Inf_Proy,3,0))</f>
        <v>Fortalecimiento</v>
      </c>
      <c r="H7" s="66" t="s">
        <v>155</v>
      </c>
      <c r="I7" s="66" t="s">
        <v>275</v>
      </c>
      <c r="J7" s="66" t="s">
        <v>351</v>
      </c>
      <c r="K7" s="66" t="s">
        <v>112</v>
      </c>
      <c r="L7" s="67" t="s">
        <v>60</v>
      </c>
      <c r="M7" s="67" t="s">
        <v>61</v>
      </c>
      <c r="N7" s="67" t="s">
        <v>702</v>
      </c>
      <c r="O7" s="68">
        <v>2.0</v>
      </c>
      <c r="P7" s="109">
        <v>1.0</v>
      </c>
      <c r="Q7" s="70" t="s">
        <v>703</v>
      </c>
      <c r="R7" s="71" t="s">
        <v>702</v>
      </c>
      <c r="S7" s="71" t="s">
        <v>137</v>
      </c>
      <c r="T7" s="109">
        <v>0.0</v>
      </c>
      <c r="U7" s="109">
        <v>0.0</v>
      </c>
      <c r="V7" s="109">
        <v>1.0</v>
      </c>
      <c r="W7" s="109">
        <v>0.0</v>
      </c>
      <c r="X7" s="70" t="s">
        <v>298</v>
      </c>
      <c r="Y7" s="71" t="s">
        <v>646</v>
      </c>
      <c r="Z7" s="71" t="s">
        <v>355</v>
      </c>
      <c r="AA7" s="71" t="s">
        <v>648</v>
      </c>
      <c r="AB7" s="72" t="s">
        <v>649</v>
      </c>
      <c r="AC7" s="63" t="s">
        <v>248</v>
      </c>
      <c r="AD7" s="63" t="s">
        <v>84</v>
      </c>
      <c r="AE7" s="63" t="s">
        <v>187</v>
      </c>
      <c r="AF7" s="63" t="s">
        <v>321</v>
      </c>
      <c r="AG7" s="63" t="s">
        <v>233</v>
      </c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Fortalecer los sistemas de gestión de la Entidad</v>
      </c>
      <c r="AP7" s="78" t="s">
        <v>154</v>
      </c>
      <c r="AQ7" s="78" t="s">
        <v>155</v>
      </c>
      <c r="AR7" s="79"/>
      <c r="AS7" s="78" t="str">
        <f t="array" ref="AS7:AV7">INDEX(R_ObjEsp__Prod,MATCH(H7,L_ObjEsp,0))</f>
        <v>Servicios tecnológicos</v>
      </c>
      <c r="AT7" s="80"/>
      <c r="AU7" s="80"/>
      <c r="AV7" s="80"/>
      <c r="AW7" s="80"/>
      <c r="AX7" s="79"/>
      <c r="AY7" s="78" t="str">
        <f t="array" ref="AY7:BD7">INDEX(R_Pro__Act,MATCH(I7,L_Prod,0))</f>
        <v>Actualizar la infraestructura (hardware y software) de servicios, para soportar la gestión de los procesos de entidad</v>
      </c>
      <c r="AZ7" s="80" t="s">
        <v>351</v>
      </c>
      <c r="BA7" s="80" t="s">
        <v>352</v>
      </c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18" width="32.14"/>
    <col customWidth="1" min="19" max="23" width="17.29"/>
    <col customWidth="1" min="24" max="31" width="18.86"/>
    <col customWidth="1" min="32" max="32" width="24.43"/>
    <col customWidth="1" min="33" max="34" width="18.86"/>
    <col customWidth="1" min="35" max="35" width="39.14"/>
    <col customWidth="1" min="36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87.0" customHeight="1">
      <c r="A3" s="39"/>
      <c r="B3" s="62">
        <v>1.0</v>
      </c>
      <c r="C3" s="63" t="s">
        <v>190</v>
      </c>
      <c r="D3" s="64" t="s">
        <v>54</v>
      </c>
      <c r="E3" s="64" t="s">
        <v>150</v>
      </c>
      <c r="F3" s="65">
        <f>IF(ISBLANK(E3),"",VLOOKUP(E3,R_Inf_Proy,2,0))</f>
        <v>2018011000241</v>
      </c>
      <c r="G3" s="65" t="str">
        <f>IF(ISBLANK(E3),"",VLOOKUP(E3,R_Inf_Proy,3,0))</f>
        <v>Fortalecimiento</v>
      </c>
      <c r="H3" s="66" t="s">
        <v>153</v>
      </c>
      <c r="I3" s="66" t="s">
        <v>243</v>
      </c>
      <c r="J3" s="66" t="s">
        <v>335</v>
      </c>
      <c r="K3" s="66" t="s">
        <v>112</v>
      </c>
      <c r="L3" s="67" t="s">
        <v>60</v>
      </c>
      <c r="M3" s="67" t="s">
        <v>92</v>
      </c>
      <c r="N3" s="67" t="s">
        <v>704</v>
      </c>
      <c r="O3" s="68"/>
      <c r="P3" s="69">
        <v>1.0</v>
      </c>
      <c r="Q3" s="70" t="s">
        <v>705</v>
      </c>
      <c r="R3" s="71" t="s">
        <v>706</v>
      </c>
      <c r="S3" s="71" t="s">
        <v>75</v>
      </c>
      <c r="T3" s="69">
        <v>0.0</v>
      </c>
      <c r="U3" s="69">
        <v>0.5</v>
      </c>
      <c r="V3" s="69">
        <v>0.0</v>
      </c>
      <c r="W3" s="69">
        <v>0.5</v>
      </c>
      <c r="X3" s="70" t="s">
        <v>54</v>
      </c>
      <c r="Y3" s="71" t="s">
        <v>707</v>
      </c>
      <c r="Z3" s="71" t="s">
        <v>708</v>
      </c>
      <c r="AA3" s="71" t="s">
        <v>709</v>
      </c>
      <c r="AB3" s="72" t="s">
        <v>553</v>
      </c>
      <c r="AC3" s="63" t="s">
        <v>200</v>
      </c>
      <c r="AD3" s="63" t="s">
        <v>84</v>
      </c>
      <c r="AE3" s="63" t="s">
        <v>54</v>
      </c>
      <c r="AF3" s="63" t="s">
        <v>201</v>
      </c>
      <c r="AG3" s="63" t="s">
        <v>322</v>
      </c>
      <c r="AH3" s="63" t="s">
        <v>93</v>
      </c>
      <c r="AI3" s="72" t="s">
        <v>710</v>
      </c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sistemas de gestión de la Entidad</v>
      </c>
      <c r="AP3" s="78" t="s">
        <v>154</v>
      </c>
      <c r="AQ3" s="78" t="s">
        <v>155</v>
      </c>
      <c r="AR3" s="79"/>
      <c r="AS3" s="78" t="str">
        <f t="array" ref="AS3:AV3">INDEX(R_ObjEsp__Prod,MATCH(H3,L_ObjEsp,0))</f>
        <v>Servicio de Educación Informal para la Gestión Administrativa</v>
      </c>
      <c r="AT3" s="80" t="s">
        <v>242</v>
      </c>
      <c r="AU3" s="80" t="s">
        <v>243</v>
      </c>
      <c r="AV3" s="80"/>
      <c r="AW3" s="80"/>
      <c r="AX3" s="79"/>
      <c r="AY3" s="78" t="str">
        <f t="array" ref="AY3:BD3">INDEX(R_Pro__Act,MATCH(I3,L_Prod,0))</f>
        <v>Optimizar la gestión administrativa, operativa, de planeación, seguimiento y control de la Entidad, para mejorar el desempeño institucional y la prestación del servicio a nivel nacional</v>
      </c>
      <c r="AZ3" s="80" t="s">
        <v>334</v>
      </c>
      <c r="BA3" s="80" t="s">
        <v>335</v>
      </c>
      <c r="BB3" s="80" t="s">
        <v>336</v>
      </c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79.5" customHeight="1">
      <c r="A4" s="39"/>
      <c r="B4" s="62">
        <v>2.0</v>
      </c>
      <c r="C4" s="63" t="s">
        <v>190</v>
      </c>
      <c r="D4" s="64" t="s">
        <v>54</v>
      </c>
      <c r="E4" s="64" t="s">
        <v>150</v>
      </c>
      <c r="F4" s="65">
        <f>IF(ISBLANK(E4),"",VLOOKUP(E4,R_Inf_Proy,2,0))</f>
        <v>2018011000241</v>
      </c>
      <c r="G4" s="65" t="str">
        <f>IF(ISBLANK(E4),"",VLOOKUP(E4,R_Inf_Proy,3,0))</f>
        <v>Fortalecimiento</v>
      </c>
      <c r="H4" s="66" t="s">
        <v>153</v>
      </c>
      <c r="I4" s="66" t="s">
        <v>243</v>
      </c>
      <c r="J4" s="66" t="s">
        <v>335</v>
      </c>
      <c r="K4" s="66" t="s">
        <v>112</v>
      </c>
      <c r="L4" s="67" t="s">
        <v>60</v>
      </c>
      <c r="M4" s="67" t="s">
        <v>92</v>
      </c>
      <c r="N4" s="67" t="s">
        <v>711</v>
      </c>
      <c r="O4" s="81"/>
      <c r="P4" s="69">
        <v>1.0</v>
      </c>
      <c r="Q4" s="70" t="s">
        <v>712</v>
      </c>
      <c r="R4" s="71" t="s">
        <v>706</v>
      </c>
      <c r="S4" s="71" t="s">
        <v>44</v>
      </c>
      <c r="T4" s="69">
        <v>0.0</v>
      </c>
      <c r="U4" s="69">
        <v>0.0</v>
      </c>
      <c r="V4" s="69">
        <v>0.0</v>
      </c>
      <c r="W4" s="69">
        <v>1.0</v>
      </c>
      <c r="X4" s="70" t="s">
        <v>54</v>
      </c>
      <c r="Y4" s="71" t="s">
        <v>707</v>
      </c>
      <c r="Z4" s="71" t="s">
        <v>708</v>
      </c>
      <c r="AA4" s="71" t="s">
        <v>709</v>
      </c>
      <c r="AB4" s="72" t="s">
        <v>553</v>
      </c>
      <c r="AC4" s="63" t="s">
        <v>215</v>
      </c>
      <c r="AD4" s="63" t="s">
        <v>84</v>
      </c>
      <c r="AE4" s="63" t="s">
        <v>54</v>
      </c>
      <c r="AF4" s="63" t="s">
        <v>201</v>
      </c>
      <c r="AG4" s="63" t="s">
        <v>322</v>
      </c>
      <c r="AH4" s="63" t="s">
        <v>365</v>
      </c>
      <c r="AI4" s="72" t="s">
        <v>713</v>
      </c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Fortalecer los sistemas de gestión de la Entidad</v>
      </c>
      <c r="AP4" s="78" t="s">
        <v>154</v>
      </c>
      <c r="AQ4" s="78" t="s">
        <v>155</v>
      </c>
      <c r="AR4" s="79"/>
      <c r="AS4" s="78" t="str">
        <f t="array" ref="AS4:AV4">INDEX(R_ObjEsp__Prod,MATCH(H4,L_ObjEsp,0))</f>
        <v>Servicio de Educación Informal para la Gestión Administrativa</v>
      </c>
      <c r="AT4" s="80" t="s">
        <v>242</v>
      </c>
      <c r="AU4" s="80" t="s">
        <v>243</v>
      </c>
      <c r="AV4" s="80"/>
      <c r="AW4" s="80"/>
      <c r="AX4" s="79"/>
      <c r="AY4" s="78" t="str">
        <f t="array" ref="AY4:BD4">INDEX(R_Pro__Act,MATCH(I4,L_Prod,0))</f>
        <v>Optimizar la gestión administrativa, operativa, de planeación, seguimiento y control de la Entidad, para mejorar el desempeño institucional y la prestación del servicio a nivel nacional</v>
      </c>
      <c r="AZ4" s="80" t="s">
        <v>334</v>
      </c>
      <c r="BA4" s="80" t="s">
        <v>335</v>
      </c>
      <c r="BB4" s="80" t="s">
        <v>336</v>
      </c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84.0" customHeight="1">
      <c r="A5" s="39"/>
      <c r="B5" s="62">
        <v>3.0</v>
      </c>
      <c r="C5" s="63" t="s">
        <v>190</v>
      </c>
      <c r="D5" s="64" t="s">
        <v>54</v>
      </c>
      <c r="E5" s="64" t="s">
        <v>150</v>
      </c>
      <c r="F5" s="65">
        <f>IF(ISBLANK(E5),"",VLOOKUP(E5,R_Inf_Proy,2,0))</f>
        <v>2018011000241</v>
      </c>
      <c r="G5" s="65" t="str">
        <f>IF(ISBLANK(E5),"",VLOOKUP(E5,R_Inf_Proy,3,0))</f>
        <v>Fortalecimiento</v>
      </c>
      <c r="H5" s="66" t="s">
        <v>153</v>
      </c>
      <c r="I5" s="66" t="s">
        <v>241</v>
      </c>
      <c r="J5" s="66" t="s">
        <v>318</v>
      </c>
      <c r="K5" s="66" t="s">
        <v>112</v>
      </c>
      <c r="L5" s="67" t="s">
        <v>60</v>
      </c>
      <c r="M5" s="67" t="s">
        <v>92</v>
      </c>
      <c r="N5" s="67" t="s">
        <v>714</v>
      </c>
      <c r="O5" s="81"/>
      <c r="P5" s="69">
        <v>1.0</v>
      </c>
      <c r="Q5" s="70" t="s">
        <v>715</v>
      </c>
      <c r="R5" s="71" t="s">
        <v>706</v>
      </c>
      <c r="S5" s="71" t="s">
        <v>44</v>
      </c>
      <c r="T5" s="69">
        <v>0.0</v>
      </c>
      <c r="U5" s="69">
        <v>0.0</v>
      </c>
      <c r="V5" s="69">
        <v>0.0</v>
      </c>
      <c r="W5" s="69">
        <v>1.0</v>
      </c>
      <c r="X5" s="70" t="s">
        <v>54</v>
      </c>
      <c r="Y5" s="71" t="s">
        <v>707</v>
      </c>
      <c r="Z5" s="71" t="s">
        <v>708</v>
      </c>
      <c r="AA5" s="71" t="s">
        <v>709</v>
      </c>
      <c r="AB5" s="72" t="s">
        <v>553</v>
      </c>
      <c r="AC5" s="63" t="s">
        <v>186</v>
      </c>
      <c r="AD5" s="63" t="s">
        <v>84</v>
      </c>
      <c r="AE5" s="63" t="s">
        <v>54</v>
      </c>
      <c r="AF5" s="63" t="s">
        <v>201</v>
      </c>
      <c r="AG5" s="63" t="s">
        <v>322</v>
      </c>
      <c r="AH5" s="63" t="s">
        <v>204</v>
      </c>
      <c r="AI5" s="72" t="s">
        <v>716</v>
      </c>
      <c r="AJ5" s="73"/>
      <c r="AK5" s="74"/>
      <c r="AL5" s="75"/>
      <c r="AM5" s="76" t="str">
        <f t="shared" si="1"/>
        <v/>
      </c>
      <c r="AO5" s="77" t="str">
        <f t="array" ref="AO5:AQ5">INDEX(R_Proy__ObjEsp,MATCH(E5,L_Proy,0))</f>
        <v>Fortalecer los sistemas de gestión de la Entidad</v>
      </c>
      <c r="AP5" s="78" t="s">
        <v>154</v>
      </c>
      <c r="AQ5" s="78" t="s">
        <v>155</v>
      </c>
      <c r="AR5" s="79"/>
      <c r="AS5" s="78" t="str">
        <f t="array" ref="AS5:AV5">INDEX(R_ObjEsp__Prod,MATCH(H5,L_ObjEsp,0))</f>
        <v>Servicio de Educación Informal para la Gestión Administrativa</v>
      </c>
      <c r="AT5" s="80" t="s">
        <v>242</v>
      </c>
      <c r="AU5" s="80" t="s">
        <v>243</v>
      </c>
      <c r="AV5" s="80"/>
      <c r="AW5" s="80"/>
      <c r="AX5" s="79"/>
      <c r="AY5" s="78" t="str">
        <f t="array" ref="AY5:BD5">INDEX(R_Pro__Act,MATCH(I5,L_Prod,0))</f>
        <v>Capacitar a los servidores públicos, en los procesos de gestión institucional de la entidad</v>
      </c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86.25" customHeight="1">
      <c r="A6" s="39"/>
      <c r="B6" s="62">
        <v>4.0</v>
      </c>
      <c r="C6" s="63" t="s">
        <v>190</v>
      </c>
      <c r="D6" s="64" t="s">
        <v>54</v>
      </c>
      <c r="E6" s="64" t="s">
        <v>150</v>
      </c>
      <c r="F6" s="65">
        <f>IF(ISBLANK(E6),"",VLOOKUP(E6,R_Inf_Proy,2,0))</f>
        <v>2018011000241</v>
      </c>
      <c r="G6" s="65" t="str">
        <f>IF(ISBLANK(E6),"",VLOOKUP(E6,R_Inf_Proy,3,0))</f>
        <v>Fortalecimiento</v>
      </c>
      <c r="H6" s="66" t="s">
        <v>153</v>
      </c>
      <c r="I6" s="66" t="s">
        <v>243</v>
      </c>
      <c r="J6" s="66" t="s">
        <v>335</v>
      </c>
      <c r="K6" s="66" t="s">
        <v>112</v>
      </c>
      <c r="L6" s="67" t="s">
        <v>60</v>
      </c>
      <c r="M6" s="67" t="s">
        <v>92</v>
      </c>
      <c r="N6" s="67" t="s">
        <v>717</v>
      </c>
      <c r="O6" s="81"/>
      <c r="P6" s="69">
        <v>1.0</v>
      </c>
      <c r="Q6" s="70" t="s">
        <v>718</v>
      </c>
      <c r="R6" s="71" t="s">
        <v>719</v>
      </c>
      <c r="S6" s="71" t="s">
        <v>137</v>
      </c>
      <c r="T6" s="69">
        <v>0.25</v>
      </c>
      <c r="U6" s="69">
        <v>0.25</v>
      </c>
      <c r="V6" s="69">
        <v>0.25</v>
      </c>
      <c r="W6" s="69">
        <v>0.25</v>
      </c>
      <c r="X6" s="70" t="s">
        <v>54</v>
      </c>
      <c r="Y6" s="71" t="s">
        <v>707</v>
      </c>
      <c r="Z6" s="71" t="s">
        <v>708</v>
      </c>
      <c r="AA6" s="71" t="s">
        <v>709</v>
      </c>
      <c r="AB6" s="72" t="s">
        <v>553</v>
      </c>
      <c r="AC6" s="63" t="s">
        <v>113</v>
      </c>
      <c r="AD6" s="63" t="s">
        <v>84</v>
      </c>
      <c r="AE6" s="63" t="s">
        <v>54</v>
      </c>
      <c r="AF6" s="63" t="s">
        <v>201</v>
      </c>
      <c r="AG6" s="63" t="s">
        <v>322</v>
      </c>
      <c r="AH6" s="63" t="s">
        <v>225</v>
      </c>
      <c r="AI6" s="72" t="s">
        <v>720</v>
      </c>
      <c r="AJ6" s="73"/>
      <c r="AK6" s="74"/>
      <c r="AL6" s="75"/>
      <c r="AM6" s="76" t="str">
        <f t="shared" si="1"/>
        <v/>
      </c>
      <c r="AO6" s="77" t="str">
        <f t="array" ref="AO6:AQ6">INDEX(R_Proy__ObjEsp,MATCH(E6,L_Proy,0))</f>
        <v>Fortalecer los sistemas de gestión de la Entidad</v>
      </c>
      <c r="AP6" s="78" t="s">
        <v>154</v>
      </c>
      <c r="AQ6" s="78" t="s">
        <v>155</v>
      </c>
      <c r="AR6" s="79"/>
      <c r="AS6" s="78" t="str">
        <f t="array" ref="AS6:AV6">INDEX(R_ObjEsp__Prod,MATCH(H6,L_ObjEsp,0))</f>
        <v>Servicio de Educación Informal para la Gestión Administrativa</v>
      </c>
      <c r="AT6" s="80" t="s">
        <v>242</v>
      </c>
      <c r="AU6" s="80" t="s">
        <v>243</v>
      </c>
      <c r="AV6" s="80"/>
      <c r="AW6" s="80"/>
      <c r="AX6" s="79"/>
      <c r="AY6" s="78" t="str">
        <f t="array" ref="AY6:BD6">INDEX(R_Pro__Act,MATCH(I6,L_Prod,0))</f>
        <v>Optimizar la gestión administrativa, operativa, de planeación, seguimiento y control de la Entidad, para mejorar el desempeño institucional y la prestación del servicio a nivel nacional</v>
      </c>
      <c r="AZ6" s="80" t="s">
        <v>334</v>
      </c>
      <c r="BA6" s="80" t="s">
        <v>335</v>
      </c>
      <c r="BB6" s="80" t="s">
        <v>336</v>
      </c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/>
      <c r="D7" s="64"/>
      <c r="E7" s="64"/>
      <c r="F7" s="65" t="str">
        <f>IF(ISBLANK(E7),"",VLOOKUP(E7,R_Inf_Proy,2,0))</f>
        <v/>
      </c>
      <c r="G7" s="65" t="str">
        <f>IF(ISBLANK(E7),"",VLOOKUP(E7,R_Inf_Proy,3,0))</f>
        <v/>
      </c>
      <c r="H7" s="66"/>
      <c r="I7" s="66"/>
      <c r="J7" s="66"/>
      <c r="K7" s="66"/>
      <c r="L7" s="67"/>
      <c r="M7" s="67"/>
      <c r="N7" s="67"/>
      <c r="O7" s="81"/>
      <c r="P7" s="69"/>
      <c r="Q7" s="70"/>
      <c r="R7" s="83"/>
      <c r="S7" s="71"/>
      <c r="T7" s="69"/>
      <c r="U7" s="69"/>
      <c r="V7" s="69"/>
      <c r="W7" s="69"/>
      <c r="X7" s="70"/>
      <c r="Y7" s="71"/>
      <c r="Z7" s="71"/>
      <c r="AA7" s="71"/>
      <c r="AB7" s="72"/>
      <c r="AC7" s="63"/>
      <c r="AD7" s="63"/>
      <c r="AE7" s="63"/>
      <c r="AF7" s="63"/>
      <c r="AG7" s="63"/>
      <c r="AH7" s="63"/>
      <c r="AI7" s="73"/>
      <c r="AJ7" s="73"/>
      <c r="AK7" s="74"/>
      <c r="AL7" s="75"/>
      <c r="AM7" s="76" t="str">
        <f t="shared" si="1"/>
        <v/>
      </c>
      <c r="AO7" s="77" t="str">
        <f t="array" ref="AO7">INDEX(R_Proy__ObjEsp,MATCH(E7,L_Proy,0))</f>
        <v>#N/A</v>
      </c>
      <c r="AP7" s="78"/>
      <c r="AQ7" s="78"/>
      <c r="AR7" s="79"/>
      <c r="AS7" s="78" t="str">
        <f t="array" ref="AS7">INDEX(R_ObjEsp__Prod,MATCH(H7,L_ObjEsp,0))</f>
        <v>#N/A</v>
      </c>
      <c r="AT7" s="80"/>
      <c r="AU7" s="80"/>
      <c r="AV7" s="80"/>
      <c r="AW7" s="80"/>
      <c r="AX7" s="79"/>
      <c r="AY7" s="78" t="str">
        <f t="array" ref="AY7">INDEX(R_Pro__Act,MATCH(I7,L_Prod,0))</f>
        <v>#N/A</v>
      </c>
      <c r="AZ7" s="80"/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/>
      <c r="D8" s="64"/>
      <c r="E8" s="64"/>
      <c r="F8" s="65" t="str">
        <f>IF(ISBLANK(E8),"",VLOOKUP(E8,R_Inf_Proy,2,0))</f>
        <v/>
      </c>
      <c r="G8" s="65" t="str">
        <f>IF(ISBLANK(E8),"",VLOOKUP(E8,R_Inf_Proy,3,0))</f>
        <v/>
      </c>
      <c r="H8" s="66"/>
      <c r="I8" s="66"/>
      <c r="J8" s="66"/>
      <c r="K8" s="66"/>
      <c r="L8" s="67"/>
      <c r="M8" s="67"/>
      <c r="N8" s="67"/>
      <c r="O8" s="81"/>
      <c r="P8" s="69"/>
      <c r="Q8" s="70"/>
      <c r="R8" s="83"/>
      <c r="S8" s="71"/>
      <c r="T8" s="69"/>
      <c r="U8" s="69"/>
      <c r="V8" s="69"/>
      <c r="W8" s="69"/>
      <c r="X8" s="70"/>
      <c r="Y8" s="71"/>
      <c r="Z8" s="71"/>
      <c r="AA8" s="71"/>
      <c r="AB8" s="72"/>
      <c r="AC8" s="63"/>
      <c r="AD8" s="63"/>
      <c r="AE8" s="63"/>
      <c r="AF8" s="63"/>
      <c r="AG8" s="63"/>
      <c r="AH8" s="63"/>
      <c r="AI8" s="73"/>
      <c r="AJ8" s="73"/>
      <c r="AK8" s="74"/>
      <c r="AL8" s="75"/>
      <c r="AM8" s="76" t="str">
        <f t="shared" si="1"/>
        <v/>
      </c>
      <c r="AO8" s="77" t="str">
        <f t="array" ref="AO8">INDEX(R_Proy__ObjEsp,MATCH(E8,L_Proy,0))</f>
        <v>#N/A</v>
      </c>
      <c r="AP8" s="78"/>
      <c r="AQ8" s="78"/>
      <c r="AR8" s="79"/>
      <c r="AS8" s="78" t="str">
        <f t="array" ref="AS8">INDEX(R_ObjEsp__Prod,MATCH(H8,L_ObjEsp,0))</f>
        <v>#N/A</v>
      </c>
      <c r="AT8" s="80"/>
      <c r="AU8" s="80"/>
      <c r="AV8" s="80"/>
      <c r="AW8" s="80"/>
      <c r="AX8" s="79"/>
      <c r="AY8" s="78" t="str">
        <f t="array" ref="AY8">INDEX(R_Pro__Act,MATCH(I8,L_Prod,0))</f>
        <v>#N/A</v>
      </c>
      <c r="AZ8" s="80"/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/>
      <c r="D9" s="64"/>
      <c r="E9" s="64"/>
      <c r="F9" s="65" t="str">
        <f>IF(ISBLANK(E9),"",VLOOKUP(E9,R_Inf_Proy,2,0))</f>
        <v/>
      </c>
      <c r="G9" s="65" t="str">
        <f>IF(ISBLANK(E9),"",VLOOKUP(E9,R_Inf_Proy,3,0))</f>
        <v/>
      </c>
      <c r="H9" s="66"/>
      <c r="I9" s="66"/>
      <c r="J9" s="66"/>
      <c r="K9" s="66"/>
      <c r="L9" s="67"/>
      <c r="M9" s="67"/>
      <c r="N9" s="67"/>
      <c r="O9" s="84"/>
      <c r="P9" s="69"/>
      <c r="Q9" s="70"/>
      <c r="R9" s="83"/>
      <c r="S9" s="71"/>
      <c r="T9" s="69"/>
      <c r="U9" s="69"/>
      <c r="V9" s="69"/>
      <c r="W9" s="69"/>
      <c r="X9" s="70"/>
      <c r="Y9" s="71"/>
      <c r="Z9" s="71"/>
      <c r="AA9" s="71"/>
      <c r="AB9" s="72"/>
      <c r="AC9" s="63"/>
      <c r="AD9" s="63"/>
      <c r="AE9" s="63"/>
      <c r="AF9" s="63"/>
      <c r="AG9" s="63"/>
      <c r="AH9" s="63"/>
      <c r="AI9" s="73"/>
      <c r="AJ9" s="73"/>
      <c r="AK9" s="74"/>
      <c r="AL9" s="75"/>
      <c r="AM9" s="76" t="str">
        <f t="shared" si="1"/>
        <v/>
      </c>
      <c r="AO9" s="77" t="str">
        <f t="array" ref="AO9">INDEX(R_Proy__ObjEsp,MATCH(E9,L_Proy,0))</f>
        <v>#N/A</v>
      </c>
      <c r="AP9" s="78"/>
      <c r="AQ9" s="78"/>
      <c r="AR9" s="79"/>
      <c r="AS9" s="78" t="str">
        <f t="array" ref="AS9">INDEX(R_ObjEsp__Prod,MATCH(H9,L_ObjEsp,0))</f>
        <v>#N/A</v>
      </c>
      <c r="AT9" s="80"/>
      <c r="AU9" s="80"/>
      <c r="AV9" s="80"/>
      <c r="AW9" s="80"/>
      <c r="AX9" s="79"/>
      <c r="AY9" s="78" t="str">
        <f t="array" ref="AY9">INDEX(R_Pro__Act,MATCH(I9,L_Prod,0))</f>
        <v>#N/A</v>
      </c>
      <c r="AZ9" s="80"/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/>
      <c r="D10" s="64"/>
      <c r="E10" s="64"/>
      <c r="F10" s="65" t="str">
        <f>IF(ISBLANK(E10),"",VLOOKUP(E10,R_Inf_Proy,2,0))</f>
        <v/>
      </c>
      <c r="G10" s="65" t="str">
        <f>IF(ISBLANK(E10),"",VLOOKUP(E10,R_Inf_Proy,3,0))</f>
        <v/>
      </c>
      <c r="H10" s="66"/>
      <c r="I10" s="66"/>
      <c r="J10" s="66"/>
      <c r="K10" s="66"/>
      <c r="L10" s="67"/>
      <c r="M10" s="67"/>
      <c r="N10" s="67"/>
      <c r="O10" s="81"/>
      <c r="P10" s="69"/>
      <c r="Q10" s="70"/>
      <c r="R10" s="83"/>
      <c r="S10" s="71"/>
      <c r="T10" s="69"/>
      <c r="U10" s="69"/>
      <c r="V10" s="69"/>
      <c r="W10" s="69"/>
      <c r="X10" s="70"/>
      <c r="Y10" s="71"/>
      <c r="Z10" s="71"/>
      <c r="AA10" s="71"/>
      <c r="AB10" s="72"/>
      <c r="AC10" s="63"/>
      <c r="AD10" s="63"/>
      <c r="AE10" s="63"/>
      <c r="AF10" s="63"/>
      <c r="AG10" s="63"/>
      <c r="AH10" s="63"/>
      <c r="AI10" s="73"/>
      <c r="AJ10" s="73"/>
      <c r="AK10" s="74"/>
      <c r="AL10" s="75"/>
      <c r="AM10" s="76" t="str">
        <f t="shared" si="1"/>
        <v/>
      </c>
      <c r="AO10" s="77" t="str">
        <f t="array" ref="AO10">INDEX(R_Proy__ObjEsp,MATCH(E10,L_Proy,0))</f>
        <v>#N/A</v>
      </c>
      <c r="AP10" s="78"/>
      <c r="AQ10" s="78"/>
      <c r="AR10" s="79"/>
      <c r="AS10" s="78" t="str">
        <f t="array" ref="AS10">INDEX(R_ObjEsp__Prod,MATCH(H10,L_ObjEsp,0))</f>
        <v>#N/A</v>
      </c>
      <c r="AT10" s="80"/>
      <c r="AU10" s="80"/>
      <c r="AV10" s="80"/>
      <c r="AW10" s="80"/>
      <c r="AX10" s="79"/>
      <c r="AY10" s="78" t="str">
        <f t="array" ref="AY10">INDEX(R_Pro__Act,MATCH(I10,L_Prod,0))</f>
        <v>#N/A</v>
      </c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1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63"/>
      <c r="AI12" s="73"/>
      <c r="AJ12" s="73"/>
      <c r="AK12" s="74"/>
      <c r="AL12" s="75"/>
      <c r="AM12" s="76" t="str">
        <f t="shared" si="1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1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120</v>
      </c>
      <c r="D3" s="64" t="s">
        <v>244</v>
      </c>
      <c r="E3" s="64" t="s">
        <v>30</v>
      </c>
      <c r="F3" s="65">
        <f>IF(ISBLANK(E3),"",VLOOKUP(E3,R_Inf_Proy,2,0))</f>
        <v>2019011000276</v>
      </c>
      <c r="G3" s="65" t="str">
        <f>IF(ISBLANK(E3),"",VLOOKUP(E3,R_Inf_Proy,3,0))</f>
        <v>Inspección</v>
      </c>
      <c r="H3" s="66" t="s">
        <v>33</v>
      </c>
      <c r="I3" s="66" t="s">
        <v>35</v>
      </c>
      <c r="J3" s="66" t="s">
        <v>40</v>
      </c>
      <c r="K3" s="66" t="s">
        <v>82</v>
      </c>
      <c r="L3" s="67" t="s">
        <v>60</v>
      </c>
      <c r="M3" s="67" t="s">
        <v>61</v>
      </c>
      <c r="N3" s="67" t="s">
        <v>596</v>
      </c>
      <c r="O3" s="68">
        <v>157.0</v>
      </c>
      <c r="P3" s="109">
        <v>375.0</v>
      </c>
      <c r="Q3" s="70" t="s">
        <v>721</v>
      </c>
      <c r="R3" s="71" t="s">
        <v>722</v>
      </c>
      <c r="S3" s="71" t="s">
        <v>137</v>
      </c>
      <c r="T3" s="109">
        <v>77.0</v>
      </c>
      <c r="U3" s="109">
        <v>104.0</v>
      </c>
      <c r="V3" s="109">
        <v>113.0</v>
      </c>
      <c r="W3" s="109">
        <v>81.0</v>
      </c>
      <c r="X3" s="70" t="s">
        <v>244</v>
      </c>
      <c r="Y3" s="71" t="s">
        <v>723</v>
      </c>
      <c r="Z3" s="71" t="s">
        <v>724</v>
      </c>
      <c r="AA3" s="71" t="s">
        <v>725</v>
      </c>
      <c r="AB3" s="72" t="s">
        <v>726</v>
      </c>
      <c r="AC3" s="63" t="s">
        <v>302</v>
      </c>
      <c r="AD3" s="63" t="s">
        <v>53</v>
      </c>
      <c r="AE3" s="63" t="s">
        <v>115</v>
      </c>
      <c r="AF3" s="63" t="s">
        <v>116</v>
      </c>
      <c r="AG3" s="63" t="s">
        <v>282</v>
      </c>
      <c r="AH3" s="63" t="s">
        <v>62</v>
      </c>
      <c r="AI3" s="72" t="s">
        <v>727</v>
      </c>
      <c r="AJ3" s="73"/>
      <c r="AK3" s="74"/>
      <c r="AL3" s="75"/>
      <c r="AM3" s="76" t="str">
        <f t="shared" ref="AM3:AM4" si="1">IF(K3="PRODUCTO",VLOOKUP(I3,#REF!,6,0),IF(K3="GESTIÓN",VLOOKUP(E3,#REF!,14,0),""))</f>
        <v/>
      </c>
      <c r="AO3" s="77" t="str">
        <f t="array" ref="AO3:AQ3">INDEX(R_Proy__ObjEsp,MATCH(E3,L_Proy,0))</f>
        <v>Fortalecer los mecanismos de seguimiento y control de la actividad pesquera y de la acuicultura.</v>
      </c>
      <c r="AP3" s="78" t="s">
        <v>34</v>
      </c>
      <c r="AQ3" s="78"/>
      <c r="AR3" s="79"/>
      <c r="AS3" s="78" t="str">
        <f t="array" ref="AS3:AV3">INDEX(R_ObjEsp__Prod,MATCH(H3,L_ObjEsp,0))</f>
        <v>Servicio de inspección, vigilancia y control de la pesca y la acuicultura</v>
      </c>
      <c r="AT3" s="80"/>
      <c r="AU3" s="80"/>
      <c r="AV3" s="80"/>
      <c r="AW3" s="80"/>
      <c r="AX3" s="79"/>
      <c r="AY3" s="78" t="str">
        <f t="array" ref="AY3:BD3">INDEX(R_Pro__Act,MATCH(I3,L_Prod,0))</f>
        <v>Realizar seguimiento y actualización al registro general de pesca.</v>
      </c>
      <c r="AZ3" s="80" t="s">
        <v>37</v>
      </c>
      <c r="BA3" s="80" t="s">
        <v>38</v>
      </c>
      <c r="BB3" s="80" t="s">
        <v>39</v>
      </c>
      <c r="BC3" s="80" t="s">
        <v>40</v>
      </c>
      <c r="BD3" s="80" t="s">
        <v>41</v>
      </c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114">
        <v>2.0</v>
      </c>
      <c r="C4" s="63" t="s">
        <v>90</v>
      </c>
      <c r="D4" s="64" t="s">
        <v>244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103</v>
      </c>
      <c r="J4" s="66" t="s">
        <v>130</v>
      </c>
      <c r="K4" s="66" t="s">
        <v>82</v>
      </c>
      <c r="L4" s="67" t="s">
        <v>60</v>
      </c>
      <c r="M4" s="67" t="s">
        <v>61</v>
      </c>
      <c r="N4" s="119" t="s">
        <v>728</v>
      </c>
      <c r="O4" s="68">
        <v>-7140.0</v>
      </c>
      <c r="P4" s="109">
        <v>100.0</v>
      </c>
      <c r="Q4" s="70" t="s">
        <v>729</v>
      </c>
      <c r="R4" s="71" t="s">
        <v>730</v>
      </c>
      <c r="S4" s="71" t="s">
        <v>137</v>
      </c>
      <c r="T4" s="109">
        <v>10.0</v>
      </c>
      <c r="U4" s="109">
        <v>30.0</v>
      </c>
      <c r="V4" s="109">
        <v>36.0</v>
      </c>
      <c r="W4" s="109">
        <v>24.0</v>
      </c>
      <c r="X4" s="70" t="s">
        <v>244</v>
      </c>
      <c r="Y4" s="71" t="s">
        <v>723</v>
      </c>
      <c r="Z4" s="71" t="s">
        <v>724</v>
      </c>
      <c r="AA4" s="71" t="s">
        <v>725</v>
      </c>
      <c r="AB4" s="72" t="s">
        <v>726</v>
      </c>
      <c r="AC4" s="63" t="s">
        <v>302</v>
      </c>
      <c r="AD4" s="63" t="s">
        <v>114</v>
      </c>
      <c r="AE4" s="63" t="s">
        <v>115</v>
      </c>
      <c r="AF4" s="63" t="s">
        <v>116</v>
      </c>
      <c r="AG4" s="63" t="s">
        <v>282</v>
      </c>
      <c r="AH4" s="63" t="s">
        <v>371</v>
      </c>
      <c r="AI4" s="120" t="s">
        <v>731</v>
      </c>
      <c r="AJ4" s="73"/>
      <c r="AK4" s="74"/>
      <c r="AL4" s="75"/>
      <c r="AM4" s="76" t="str">
        <f t="shared" si="1"/>
        <v/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Regular el manejo y el ejercicio de la actividad pesquera y de la acuicultura.</v>
      </c>
      <c r="AZ4" s="80" t="s">
        <v>131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114">
        <v>3.0</v>
      </c>
      <c r="C5" s="63" t="s">
        <v>90</v>
      </c>
      <c r="D5" s="64" t="s">
        <v>244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67</v>
      </c>
      <c r="I5" s="66" t="s">
        <v>103</v>
      </c>
      <c r="J5" s="66" t="s">
        <v>130</v>
      </c>
      <c r="K5" s="66" t="s">
        <v>51</v>
      </c>
      <c r="L5" s="67" t="s">
        <v>60</v>
      </c>
      <c r="M5" s="67" t="s">
        <v>61</v>
      </c>
      <c r="N5" s="121" t="s">
        <v>732</v>
      </c>
      <c r="O5" s="81"/>
      <c r="P5" s="109">
        <v>200.0</v>
      </c>
      <c r="Q5" s="70" t="s">
        <v>733</v>
      </c>
      <c r="R5" s="71" t="s">
        <v>730</v>
      </c>
      <c r="S5" s="71" t="s">
        <v>137</v>
      </c>
      <c r="T5" s="109">
        <v>40.0</v>
      </c>
      <c r="U5" s="109">
        <v>70.0</v>
      </c>
      <c r="V5" s="109">
        <v>74.0</v>
      </c>
      <c r="W5" s="109">
        <v>16.0</v>
      </c>
      <c r="X5" s="70" t="s">
        <v>244</v>
      </c>
      <c r="Y5" s="71" t="s">
        <v>723</v>
      </c>
      <c r="Z5" s="71" t="s">
        <v>724</v>
      </c>
      <c r="AA5" s="71" t="s">
        <v>725</v>
      </c>
      <c r="AB5" s="72" t="s">
        <v>726</v>
      </c>
      <c r="AC5" s="63" t="s">
        <v>302</v>
      </c>
      <c r="AD5" s="63" t="s">
        <v>114</v>
      </c>
      <c r="AE5" s="63" t="s">
        <v>115</v>
      </c>
      <c r="AF5" s="63" t="s">
        <v>116</v>
      </c>
      <c r="AG5" s="63" t="s">
        <v>282</v>
      </c>
      <c r="AH5" s="63" t="s">
        <v>371</v>
      </c>
      <c r="AI5" s="120" t="s">
        <v>734</v>
      </c>
      <c r="AJ5" s="73"/>
      <c r="AK5" s="74"/>
      <c r="AL5" s="75"/>
      <c r="AM5" s="76"/>
      <c r="AO5" s="77"/>
      <c r="AP5" s="78"/>
      <c r="AQ5" s="78"/>
      <c r="AR5" s="79"/>
      <c r="AS5" s="78"/>
      <c r="AT5" s="80"/>
      <c r="AU5" s="80"/>
      <c r="AV5" s="80"/>
      <c r="AW5" s="80"/>
      <c r="AX5" s="79"/>
      <c r="AY5" s="78"/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244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67</v>
      </c>
      <c r="I6" s="66" t="s">
        <v>103</v>
      </c>
      <c r="J6" s="66" t="s">
        <v>131</v>
      </c>
      <c r="K6" s="66" t="s">
        <v>112</v>
      </c>
      <c r="L6" s="67" t="s">
        <v>60</v>
      </c>
      <c r="M6" s="67" t="s">
        <v>61</v>
      </c>
      <c r="N6" s="67" t="s">
        <v>735</v>
      </c>
      <c r="O6" s="81"/>
      <c r="P6" s="109">
        <v>29.0</v>
      </c>
      <c r="Q6" s="70" t="s">
        <v>736</v>
      </c>
      <c r="R6" s="71" t="s">
        <v>737</v>
      </c>
      <c r="S6" s="71" t="s">
        <v>137</v>
      </c>
      <c r="T6" s="109">
        <v>6.0</v>
      </c>
      <c r="U6" s="109">
        <v>6.0</v>
      </c>
      <c r="V6" s="109">
        <v>10.0</v>
      </c>
      <c r="W6" s="109">
        <v>7.0</v>
      </c>
      <c r="X6" s="70" t="s">
        <v>244</v>
      </c>
      <c r="Y6" s="71" t="s">
        <v>723</v>
      </c>
      <c r="Z6" s="71" t="s">
        <v>724</v>
      </c>
      <c r="AA6" s="71" t="s">
        <v>725</v>
      </c>
      <c r="AB6" s="72" t="s">
        <v>726</v>
      </c>
      <c r="AC6" s="63" t="s">
        <v>302</v>
      </c>
      <c r="AD6" s="63" t="s">
        <v>114</v>
      </c>
      <c r="AE6" s="63" t="s">
        <v>115</v>
      </c>
      <c r="AF6" s="63" t="s">
        <v>116</v>
      </c>
      <c r="AG6" s="63" t="s">
        <v>282</v>
      </c>
      <c r="AH6" s="63" t="s">
        <v>204</v>
      </c>
      <c r="AI6" s="72" t="s">
        <v>738</v>
      </c>
      <c r="AJ6" s="73"/>
      <c r="AK6" s="74"/>
      <c r="AL6" s="75"/>
      <c r="AM6" s="76" t="str">
        <f t="shared" ref="AM6:AM100" si="2">IF(K6="PRODUCTO",VLOOKUP(I6,#REF!,6,0),IF(K6="GESTIÓN",VLOOKUP(E6,#REF!,14,0),""))</f>
        <v/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Servicio de ordenación pesquera y de la acuicultura</v>
      </c>
      <c r="AT6" s="80" t="s">
        <v>103</v>
      </c>
      <c r="AU6" s="80"/>
      <c r="AV6" s="80"/>
      <c r="AW6" s="80"/>
      <c r="AX6" s="79"/>
      <c r="AY6" s="78" t="str">
        <f t="array" ref="AY6:BD6">INDEX(R_Pro__Act,MATCH(I6,L_Prod,0))</f>
        <v>Regular el manejo y el ejercicio de la actividad pesquera y de la acuicultura.</v>
      </c>
      <c r="AZ6" s="80" t="s">
        <v>131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90</v>
      </c>
      <c r="D7" s="64" t="s">
        <v>244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67</v>
      </c>
      <c r="I7" s="66" t="s">
        <v>103</v>
      </c>
      <c r="J7" s="66" t="s">
        <v>130</v>
      </c>
      <c r="K7" s="66" t="s">
        <v>82</v>
      </c>
      <c r="L7" s="67" t="s">
        <v>60</v>
      </c>
      <c r="M7" s="67" t="s">
        <v>61</v>
      </c>
      <c r="N7" s="121" t="s">
        <v>739</v>
      </c>
      <c r="O7" s="68">
        <v>-7140.0</v>
      </c>
      <c r="P7" s="68">
        <v>7576.0</v>
      </c>
      <c r="Q7" s="70" t="s">
        <v>740</v>
      </c>
      <c r="R7" s="71" t="s">
        <v>741</v>
      </c>
      <c r="S7" s="71" t="s">
        <v>137</v>
      </c>
      <c r="T7" s="109">
        <v>1000.0</v>
      </c>
      <c r="U7" s="109">
        <v>3000.0</v>
      </c>
      <c r="V7" s="109">
        <v>3000.0</v>
      </c>
      <c r="W7" s="109">
        <v>576.0</v>
      </c>
      <c r="X7" s="70" t="s">
        <v>244</v>
      </c>
      <c r="Y7" s="71" t="s">
        <v>723</v>
      </c>
      <c r="Z7" s="71" t="s">
        <v>724</v>
      </c>
      <c r="AA7" s="71" t="s">
        <v>725</v>
      </c>
      <c r="AB7" s="72" t="s">
        <v>726</v>
      </c>
      <c r="AC7" s="63" t="s">
        <v>302</v>
      </c>
      <c r="AD7" s="63" t="s">
        <v>114</v>
      </c>
      <c r="AE7" s="63" t="s">
        <v>115</v>
      </c>
      <c r="AF7" s="63" t="s">
        <v>116</v>
      </c>
      <c r="AG7" s="63" t="s">
        <v>282</v>
      </c>
      <c r="AH7" s="63" t="s">
        <v>371</v>
      </c>
      <c r="AI7" s="72" t="s">
        <v>742</v>
      </c>
      <c r="AJ7" s="73"/>
      <c r="AK7" s="74"/>
      <c r="AL7" s="75"/>
      <c r="AM7" s="76" t="str">
        <f t="shared" si="2"/>
        <v/>
      </c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Servicio de ordenación pesquera y de la acuicultura</v>
      </c>
      <c r="AT7" s="80" t="s">
        <v>103</v>
      </c>
      <c r="AU7" s="80"/>
      <c r="AV7" s="80"/>
      <c r="AW7" s="80"/>
      <c r="AX7" s="79"/>
      <c r="AY7" s="78" t="str">
        <f t="array" ref="AY7:BD7">INDEX(R_Pro__Act,MATCH(I7,L_Prod,0))</f>
        <v>Regular el manejo y el ejercicio de la actividad pesquera y de la acuicultura.</v>
      </c>
      <c r="AZ7" s="80" t="s">
        <v>131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90</v>
      </c>
      <c r="D8" s="64" t="s">
        <v>244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103</v>
      </c>
      <c r="J8" s="66" t="s">
        <v>131</v>
      </c>
      <c r="K8" s="66" t="s">
        <v>112</v>
      </c>
      <c r="L8" s="67" t="s">
        <v>60</v>
      </c>
      <c r="M8" s="67" t="s">
        <v>61</v>
      </c>
      <c r="N8" s="67" t="s">
        <v>743</v>
      </c>
      <c r="O8" s="81"/>
      <c r="P8" s="109">
        <v>35.0</v>
      </c>
      <c r="Q8" s="70" t="s">
        <v>744</v>
      </c>
      <c r="R8" s="71" t="s">
        <v>737</v>
      </c>
      <c r="S8" s="71" t="s">
        <v>137</v>
      </c>
      <c r="T8" s="109">
        <v>5.0</v>
      </c>
      <c r="U8" s="109">
        <v>10.0</v>
      </c>
      <c r="V8" s="109">
        <v>10.0</v>
      </c>
      <c r="W8" s="109">
        <v>10.0</v>
      </c>
      <c r="X8" s="70" t="s">
        <v>244</v>
      </c>
      <c r="Y8" s="71" t="s">
        <v>723</v>
      </c>
      <c r="Z8" s="71" t="s">
        <v>724</v>
      </c>
      <c r="AA8" s="71" t="s">
        <v>725</v>
      </c>
      <c r="AB8" s="72" t="s">
        <v>726</v>
      </c>
      <c r="AC8" s="63" t="s">
        <v>302</v>
      </c>
      <c r="AD8" s="63" t="s">
        <v>84</v>
      </c>
      <c r="AE8" s="63" t="s">
        <v>115</v>
      </c>
      <c r="AF8" s="63" t="s">
        <v>116</v>
      </c>
      <c r="AG8" s="63" t="s">
        <v>282</v>
      </c>
      <c r="AH8" s="63" t="s">
        <v>204</v>
      </c>
      <c r="AI8" s="72" t="s">
        <v>745</v>
      </c>
      <c r="AJ8" s="73"/>
      <c r="AK8" s="74"/>
      <c r="AL8" s="75"/>
      <c r="AM8" s="76" t="str">
        <f t="shared" si="2"/>
        <v/>
      </c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Regular el manejo y el ejercicio de la actividad pesquera y de la acuicultura.</v>
      </c>
      <c r="AZ8" s="80" t="s">
        <v>131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122"/>
      <c r="B9" s="123">
        <v>7.0</v>
      </c>
      <c r="C9" s="124" t="s">
        <v>90</v>
      </c>
      <c r="D9" s="125" t="s">
        <v>244</v>
      </c>
      <c r="E9" s="125" t="s">
        <v>64</v>
      </c>
      <c r="F9" s="126">
        <f>IF(ISBLANK(E9),"",VLOOKUP(E9,R_Inf_Proy,2,0))</f>
        <v>2019011000280</v>
      </c>
      <c r="G9" s="126" t="str">
        <f>IF(ISBLANK(E9),"",VLOOKUP(E9,R_Inf_Proy,3,0))</f>
        <v>Sostenibilidad</v>
      </c>
      <c r="H9" s="127" t="s">
        <v>67</v>
      </c>
      <c r="I9" s="127" t="s">
        <v>100</v>
      </c>
      <c r="J9" s="127" t="s">
        <v>101</v>
      </c>
      <c r="K9" s="127" t="s">
        <v>82</v>
      </c>
      <c r="L9" s="128" t="s">
        <v>60</v>
      </c>
      <c r="M9" s="128" t="s">
        <v>61</v>
      </c>
      <c r="N9" s="128" t="s">
        <v>554</v>
      </c>
      <c r="O9" s="129">
        <v>-3.0</v>
      </c>
      <c r="P9" s="129">
        <v>5.0</v>
      </c>
      <c r="Q9" s="130" t="s">
        <v>746</v>
      </c>
      <c r="R9" s="131" t="s">
        <v>747</v>
      </c>
      <c r="S9" s="131" t="s">
        <v>137</v>
      </c>
      <c r="T9" s="129">
        <v>1.0</v>
      </c>
      <c r="U9" s="129">
        <v>1.0</v>
      </c>
      <c r="V9" s="129">
        <v>2.0</v>
      </c>
      <c r="W9" s="129">
        <v>1.0</v>
      </c>
      <c r="X9" s="130" t="s">
        <v>244</v>
      </c>
      <c r="Y9" s="131" t="s">
        <v>723</v>
      </c>
      <c r="Z9" s="131" t="s">
        <v>724</v>
      </c>
      <c r="AA9" s="131" t="s">
        <v>725</v>
      </c>
      <c r="AB9" s="120" t="s">
        <v>726</v>
      </c>
      <c r="AC9" s="124" t="s">
        <v>302</v>
      </c>
      <c r="AD9" s="124" t="s">
        <v>53</v>
      </c>
      <c r="AE9" s="124" t="s">
        <v>115</v>
      </c>
      <c r="AF9" s="124" t="s">
        <v>116</v>
      </c>
      <c r="AG9" s="124" t="s">
        <v>282</v>
      </c>
      <c r="AH9" s="124" t="s">
        <v>62</v>
      </c>
      <c r="AI9" s="120" t="s">
        <v>748</v>
      </c>
      <c r="AJ9" s="132"/>
      <c r="AK9" s="132"/>
      <c r="AL9" s="133"/>
      <c r="AM9" s="134" t="str">
        <f t="shared" si="2"/>
        <v/>
      </c>
      <c r="AN9" s="135"/>
      <c r="AO9" s="136" t="str">
        <f t="array" ref="AO9:AQ9">INDEX(R_Proy__ObjEsp,MATCH(E9,L_Proy,0))</f>
        <v>Mejorar la explotación de los recursos pesqueros y de la acuicultura.</v>
      </c>
      <c r="AP9" s="137" t="s">
        <v>68</v>
      </c>
      <c r="AQ9" s="137"/>
      <c r="AR9" s="138"/>
      <c r="AS9" s="137" t="str">
        <f t="array" ref="AS9:AV9">INDEX(R_ObjEsp__Prod,MATCH(H9,L_ObjEsp,0))</f>
        <v>Servicio de ordenación pesquera y de la acuicultura</v>
      </c>
      <c r="AT9" s="139" t="s">
        <v>103</v>
      </c>
      <c r="AU9" s="139"/>
      <c r="AV9" s="139"/>
      <c r="AW9" s="139"/>
      <c r="AX9" s="138"/>
      <c r="AY9" s="137" t="str">
        <f t="array" ref="AY9:BD9">INDEX(R_Pro__Act,MATCH(I9,L_Prod,0))</f>
        <v>Realizar seguimiento a los acuerdos de ordenación</v>
      </c>
      <c r="AZ9" s="139" t="s">
        <v>102</v>
      </c>
      <c r="BA9" s="139"/>
      <c r="BB9" s="139"/>
      <c r="BC9" s="139"/>
      <c r="BD9" s="139"/>
      <c r="BE9" s="138"/>
      <c r="BF9" s="138"/>
      <c r="BG9" s="138"/>
      <c r="BH9" s="138"/>
      <c r="BI9" s="138"/>
      <c r="BJ9" s="138"/>
      <c r="BK9" s="138"/>
      <c r="BL9" s="138"/>
      <c r="BM9" s="138"/>
    </row>
    <row r="10" ht="67.5" customHeight="1">
      <c r="A10" s="122"/>
      <c r="B10" s="140">
        <v>8.0</v>
      </c>
      <c r="C10" s="124" t="s">
        <v>90</v>
      </c>
      <c r="D10" s="125" t="s">
        <v>244</v>
      </c>
      <c r="E10" s="125" t="s">
        <v>64</v>
      </c>
      <c r="F10" s="126">
        <f>IF(ISBLANK(E10),"",VLOOKUP(E10,R_Inf_Proy,2,0))</f>
        <v>2019011000280</v>
      </c>
      <c r="G10" s="126" t="str">
        <f>IF(ISBLANK(E10),"",VLOOKUP(E10,R_Inf_Proy,3,0))</f>
        <v>Sostenibilidad</v>
      </c>
      <c r="H10" s="127" t="s">
        <v>67</v>
      </c>
      <c r="I10" s="127" t="s">
        <v>100</v>
      </c>
      <c r="J10" s="127" t="s">
        <v>101</v>
      </c>
      <c r="K10" s="127" t="s">
        <v>82</v>
      </c>
      <c r="L10" s="128" t="s">
        <v>60</v>
      </c>
      <c r="M10" s="128" t="s">
        <v>61</v>
      </c>
      <c r="N10" s="128" t="s">
        <v>749</v>
      </c>
      <c r="O10" s="141"/>
      <c r="P10" s="142">
        <v>60.0</v>
      </c>
      <c r="Q10" s="130" t="s">
        <v>750</v>
      </c>
      <c r="R10" s="131" t="s">
        <v>751</v>
      </c>
      <c r="S10" s="131" t="s">
        <v>137</v>
      </c>
      <c r="T10" s="142">
        <v>5.0</v>
      </c>
      <c r="U10" s="142">
        <v>25.0</v>
      </c>
      <c r="V10" s="142">
        <v>25.0</v>
      </c>
      <c r="W10" s="142">
        <v>5.0</v>
      </c>
      <c r="X10" s="130" t="s">
        <v>244</v>
      </c>
      <c r="Y10" s="131" t="s">
        <v>723</v>
      </c>
      <c r="Z10" s="131" t="s">
        <v>724</v>
      </c>
      <c r="AA10" s="131" t="s">
        <v>725</v>
      </c>
      <c r="AB10" s="120" t="s">
        <v>726</v>
      </c>
      <c r="AC10" s="124" t="s">
        <v>302</v>
      </c>
      <c r="AD10" s="124" t="s">
        <v>53</v>
      </c>
      <c r="AE10" s="124" t="s">
        <v>115</v>
      </c>
      <c r="AF10" s="124" t="s">
        <v>116</v>
      </c>
      <c r="AG10" s="124" t="s">
        <v>282</v>
      </c>
      <c r="AH10" s="124" t="s">
        <v>371</v>
      </c>
      <c r="AI10" s="120" t="s">
        <v>752</v>
      </c>
      <c r="AJ10" s="132"/>
      <c r="AK10" s="132"/>
      <c r="AL10" s="133"/>
      <c r="AM10" s="134" t="str">
        <f t="shared" si="2"/>
        <v/>
      </c>
      <c r="AN10" s="135"/>
      <c r="AO10" s="136" t="str">
        <f t="array" ref="AO10:AQ10">INDEX(R_Proy__ObjEsp,MATCH(E10,L_Proy,0))</f>
        <v>Mejorar la explotación de los recursos pesqueros y de la acuicultura.</v>
      </c>
      <c r="AP10" s="137" t="s">
        <v>68</v>
      </c>
      <c r="AQ10" s="137"/>
      <c r="AR10" s="138"/>
      <c r="AS10" s="137" t="str">
        <f t="array" ref="AS10:AV10">INDEX(R_ObjEsp__Prod,MATCH(H10,L_ObjEsp,0))</f>
        <v>Servicio de ordenación pesquera y de la acuicultura</v>
      </c>
      <c r="AT10" s="139" t="s">
        <v>103</v>
      </c>
      <c r="AU10" s="139"/>
      <c r="AV10" s="139"/>
      <c r="AW10" s="139"/>
      <c r="AX10" s="138"/>
      <c r="AY10" s="137" t="str">
        <f t="array" ref="AY10:BD10">INDEX(R_Pro__Act,MATCH(I10,L_Prod,0))</f>
        <v>Realizar seguimiento a los acuerdos de ordenación</v>
      </c>
      <c r="AZ10" s="139" t="s">
        <v>102</v>
      </c>
      <c r="BA10" s="139"/>
      <c r="BB10" s="139"/>
      <c r="BC10" s="139"/>
      <c r="BD10" s="139"/>
      <c r="BE10" s="138"/>
      <c r="BF10" s="138"/>
      <c r="BG10" s="138"/>
      <c r="BH10" s="138"/>
      <c r="BI10" s="138"/>
      <c r="BJ10" s="138"/>
      <c r="BK10" s="138"/>
      <c r="BL10" s="138"/>
      <c r="BM10" s="138"/>
    </row>
    <row r="11" ht="67.5" customHeight="1">
      <c r="A11" s="39"/>
      <c r="B11" s="62">
        <v>10.0</v>
      </c>
      <c r="C11" s="63"/>
      <c r="D11" s="64"/>
      <c r="E11" s="64"/>
      <c r="F11" s="65" t="str">
        <f>IF(ISBLANK(E11),"",VLOOKUP(E11,R_Inf_Proy,2,0))</f>
        <v/>
      </c>
      <c r="G11" s="65" t="str">
        <f>IF(ISBLANK(E11),"",VLOOKUP(E11,R_Inf_Proy,3,0))</f>
        <v/>
      </c>
      <c r="H11" s="66"/>
      <c r="I11" s="66"/>
      <c r="J11" s="66"/>
      <c r="K11" s="66"/>
      <c r="L11" s="67"/>
      <c r="M11" s="67"/>
      <c r="N11" s="67"/>
      <c r="O11" s="81"/>
      <c r="P11" s="81"/>
      <c r="Q11" s="82"/>
      <c r="R11" s="83"/>
      <c r="S11" s="83"/>
      <c r="T11" s="81"/>
      <c r="U11" s="81"/>
      <c r="V11" s="81"/>
      <c r="W11" s="81"/>
      <c r="X11" s="82"/>
      <c r="Y11" s="83"/>
      <c r="Z11" s="83"/>
      <c r="AA11" s="83"/>
      <c r="AB11" s="73"/>
      <c r="AC11" s="63"/>
      <c r="AD11" s="63"/>
      <c r="AE11" s="63"/>
      <c r="AF11" s="63"/>
      <c r="AG11" s="63"/>
      <c r="AH11" s="63"/>
      <c r="AI11" s="73"/>
      <c r="AJ11" s="73"/>
      <c r="AK11" s="74"/>
      <c r="AL11" s="75"/>
      <c r="AM11" s="76" t="str">
        <f t="shared" si="2"/>
        <v/>
      </c>
      <c r="AO11" s="77" t="str">
        <f t="array" ref="AO11">INDEX(R_Proy__ObjEsp,MATCH(E11,L_Proy,0))</f>
        <v>#N/A</v>
      </c>
      <c r="AP11" s="78"/>
      <c r="AQ11" s="78"/>
      <c r="AR11" s="79"/>
      <c r="AS11" s="78" t="str">
        <f t="array" ref="AS11">INDEX(R_ObjEsp__Prod,MATCH(H11,L_ObjEsp,0))</f>
        <v>#N/A</v>
      </c>
      <c r="AT11" s="80"/>
      <c r="AU11" s="80"/>
      <c r="AV11" s="80"/>
      <c r="AW11" s="80"/>
      <c r="AX11" s="79"/>
      <c r="AY11" s="78" t="str">
        <f t="array" ref="AY11">INDEX(R_Pro__Act,MATCH(I11,L_Prod,0))</f>
        <v>#N/A</v>
      </c>
      <c r="AZ11" s="80"/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11.0</v>
      </c>
      <c r="C12" s="63"/>
      <c r="D12" s="64"/>
      <c r="E12" s="64"/>
      <c r="F12" s="65" t="str">
        <f>IF(ISBLANK(E12),"",VLOOKUP(E12,R_Inf_Proy,2,0))</f>
        <v/>
      </c>
      <c r="G12" s="65" t="str">
        <f>IF(ISBLANK(E12),"",VLOOKUP(E12,R_Inf_Proy,3,0))</f>
        <v/>
      </c>
      <c r="H12" s="66"/>
      <c r="I12" s="66"/>
      <c r="J12" s="66"/>
      <c r="K12" s="66"/>
      <c r="L12" s="67"/>
      <c r="M12" s="67"/>
      <c r="N12" s="67"/>
      <c r="O12" s="81"/>
      <c r="P12" s="81"/>
      <c r="Q12" s="82"/>
      <c r="R12" s="83"/>
      <c r="S12" s="83"/>
      <c r="T12" s="81"/>
      <c r="U12" s="81"/>
      <c r="V12" s="81"/>
      <c r="W12" s="81"/>
      <c r="X12" s="82"/>
      <c r="Y12" s="83"/>
      <c r="Z12" s="83"/>
      <c r="AA12" s="83"/>
      <c r="AB12" s="73"/>
      <c r="AC12" s="63"/>
      <c r="AD12" s="63"/>
      <c r="AE12" s="63"/>
      <c r="AF12" s="63"/>
      <c r="AG12" s="63"/>
      <c r="AH12" s="85"/>
      <c r="AI12" s="73"/>
      <c r="AJ12" s="73"/>
      <c r="AK12" s="74"/>
      <c r="AL12" s="75"/>
      <c r="AM12" s="76" t="str">
        <f t="shared" si="2"/>
        <v/>
      </c>
      <c r="AO12" s="77" t="str">
        <f t="array" ref="AO12">INDEX(R_Proy__ObjEsp,MATCH(E12,L_Proy,0))</f>
        <v>#N/A</v>
      </c>
      <c r="AP12" s="78"/>
      <c r="AQ12" s="78"/>
      <c r="AR12" s="79"/>
      <c r="AS12" s="78" t="str">
        <f t="array" ref="AS12">INDEX(R_ObjEsp__Prod,MATCH(H12,L_ObjEsp,0))</f>
        <v>#N/A</v>
      </c>
      <c r="AT12" s="80"/>
      <c r="AU12" s="80"/>
      <c r="AV12" s="80"/>
      <c r="AW12" s="80"/>
      <c r="AX12" s="79"/>
      <c r="AY12" s="78" t="str">
        <f t="array" ref="AY12">INDEX(R_Pro__Act,MATCH(I12,L_Prod,0))</f>
        <v>#N/A</v>
      </c>
      <c r="AZ12" s="80"/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12.0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8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2"/>
        <v/>
      </c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13.0</v>
      </c>
      <c r="C14" s="85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86"/>
      <c r="I14" s="86"/>
      <c r="J14" s="86"/>
      <c r="K14" s="66"/>
      <c r="L14" s="87"/>
      <c r="M14" s="87"/>
      <c r="N14" s="8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85"/>
      <c r="AD14" s="85"/>
      <c r="AE14" s="85"/>
      <c r="AF14" s="85"/>
      <c r="AG14" s="85"/>
      <c r="AH14" s="85"/>
      <c r="AI14" s="73"/>
      <c r="AJ14" s="73"/>
      <c r="AK14" s="74"/>
      <c r="AL14" s="75"/>
      <c r="AM14" s="76" t="str">
        <f t="shared" si="2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14.0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2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15.0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2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16.0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2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17.0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2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18.0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2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19.0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2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20.0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2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21.0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2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22.0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2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23.0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2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24.0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2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25.0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2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26.0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2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27.0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2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28.0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2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29.0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2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30.0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2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31.0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2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32.0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2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33.0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2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34.0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2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35.0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2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36.0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2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37.0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2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38.0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2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39.0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2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40.0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2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41.0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2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42.0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2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43.0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2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44.0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2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45.0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2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46.0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2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47.0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2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48.0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2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49.0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2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50.0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2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51.0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2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52.0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2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53.0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2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54.0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2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55.0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2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56.0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2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57.0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2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58.0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2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59.0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2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60.0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2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61.0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2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62.0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2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63.0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2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64.0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2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65.0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2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66.0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2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67.0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2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68.0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2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69.0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2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70.0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2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71.0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2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72.0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2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73.0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2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74.0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2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75.0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2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76.0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2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77.0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2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78.0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2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79.0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2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80.0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2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81.0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2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82.0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2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83.0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2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84.0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2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85.0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2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86.0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2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87.0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2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88.0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2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89.0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2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90.0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2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91.0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2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92.0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2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93.0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2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94.0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2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95.0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2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96.0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2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97.0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 t="str">
        <f>IF(K98="PRODUCTO",RIGHT(VLOOKUP(I98,R_Ind_Prod,2,0),LEN(VLOOKUP(I98,R_Ind_Prod,2,0))-12),IF(K98="GESTIÓN",RIGHT(VLOOKUP(E98,R_Ind_Gest,12,0),LEN(VLOOKUP(E98,R_Ind_Gest,12,0))-11),""))</f>
        <v/>
      </c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2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98.0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2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99.0</v>
      </c>
      <c r="C100" s="63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2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88">
        <v>100.0</v>
      </c>
      <c r="C101" s="89"/>
      <c r="D101" s="90"/>
      <c r="E101" s="90"/>
      <c r="F101" s="91" t="str">
        <f>IF(ISBLANK(E101),"",VLOOKUP(E101,R_Inf_Proy,2,0))</f>
        <v/>
      </c>
      <c r="G101" s="91" t="str">
        <f>IF(ISBLANK(E101),"",VLOOKUP(E101,R_Inf_Proy,3,0))</f>
        <v/>
      </c>
      <c r="H101" s="92"/>
      <c r="I101" s="92"/>
      <c r="J101" s="92"/>
      <c r="K101" s="93"/>
      <c r="L101" s="94"/>
      <c r="M101" s="94"/>
      <c r="N101" s="94" t="str">
        <f>IF(K101="PRODUCTO",RIGHT(VLOOKUP(I101,R_Ind_Prod,2,0),LEN(VLOOKUP(I101,R_Ind_Prod,2,0))-12),IF(K101="GESTIÓN",RIGHT(VLOOKUP(E101,R_Ind_Gest,12,0),LEN(VLOOKUP(E101,R_Ind_Gest,12,0))-11),""))</f>
        <v/>
      </c>
      <c r="O101" s="95"/>
      <c r="P101" s="96"/>
      <c r="Q101" s="97"/>
      <c r="R101" s="98"/>
      <c r="S101" s="98"/>
      <c r="T101" s="95"/>
      <c r="U101" s="95"/>
      <c r="V101" s="95"/>
      <c r="W101" s="95"/>
      <c r="X101" s="97"/>
      <c r="Y101" s="98"/>
      <c r="Z101" s="98"/>
      <c r="AA101" s="98"/>
      <c r="AB101" s="99"/>
      <c r="AC101" s="89"/>
      <c r="AD101" s="89"/>
      <c r="AE101" s="89"/>
      <c r="AF101" s="89"/>
      <c r="AG101" s="89"/>
      <c r="AH101" s="89"/>
      <c r="AI101" s="99"/>
      <c r="AJ101" s="99"/>
      <c r="AK101" s="100"/>
      <c r="AL101" s="101"/>
      <c r="AM101" s="102"/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15.75" customHeight="1">
      <c r="A102" s="44"/>
      <c r="B102" s="44"/>
      <c r="C102" s="103"/>
      <c r="D102" s="44"/>
      <c r="E102" s="44"/>
      <c r="F102" s="44"/>
      <c r="G102" s="44"/>
      <c r="H102" s="44"/>
      <c r="I102" s="44"/>
      <c r="J102" s="44"/>
      <c r="K102" s="44"/>
      <c r="L102" s="104"/>
      <c r="M102" s="104"/>
      <c r="N102" s="104"/>
      <c r="O102" s="105"/>
      <c r="P102" s="105"/>
      <c r="Q102" s="44"/>
      <c r="R102" s="104"/>
      <c r="S102" s="104"/>
      <c r="T102" s="105"/>
      <c r="U102" s="105"/>
      <c r="V102" s="105"/>
      <c r="W102" s="105"/>
      <c r="X102" s="44"/>
      <c r="Y102" s="104"/>
      <c r="Z102" s="104"/>
      <c r="AA102" s="104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6"/>
      <c r="AM102" s="107"/>
    </row>
  </sheetData>
  <customSheetViews>
    <customSheetView guid="{53D55F53-C764-4421-A3EC-48DE59138C30}" filter="1" showAutoFilter="1">
      <autoFilter ref="$D$2:$BF$101"/>
    </customSheetView>
  </customSheetViews>
  <conditionalFormatting sqref="P3">
    <cfRule type="expression" dxfId="0" priority="1">
      <formula>SUM(T3:W3)&lt;&gt;P3</formula>
    </cfRule>
  </conditionalFormatting>
  <conditionalFormatting sqref="P4:P99 P101">
    <cfRule type="expression" dxfId="0" priority="2">
      <formula>SUM(T4:W4)&lt;&gt;P4</formula>
    </cfRule>
  </conditionalFormatting>
  <conditionalFormatting sqref="P100">
    <cfRule type="expression" dxfId="0" priority="3">
      <formula>SUM(T100:W100)&lt;&gt;P100</formula>
    </cfRule>
  </conditionalFormatting>
  <dataValidations>
    <dataValidation type="list" allowBlank="1" sqref="AF3:AF101">
      <formula1>l_Poli</formula1>
    </dataValidation>
    <dataValidation type="custom" allowBlank="1" showDropDown="1" sqref="AL3:AL101">
      <formula1>OR(NOT(ISERROR(DATEVALUE(AL3))), AND(ISNUMBER(AL3), LEFT(CELL("format", AL3))="D"))</formula1>
    </dataValidation>
    <dataValidation type="list" allowBlank="1" sqref="S3:S101">
      <formula1>L_Ind_Peri</formula1>
    </dataValidation>
    <dataValidation type="list" allowBlank="1" sqref="AG3:AG101">
      <formula1>l_ODS</formula1>
    </dataValidation>
    <dataValidation type="list" allowBlank="1" sqref="D3:D101">
      <formula1>L_Area</formula1>
    </dataValidation>
    <dataValidation type="list" allowBlank="1" showInputMessage="1" showErrorMessage="1" prompt="Seleccionar producto valido para el proyecto" sqref="J3:J101">
      <formula1>AY3:BD3</formula1>
    </dataValidation>
    <dataValidation type="list" allowBlank="1" showInputMessage="1" showErrorMessage="1" prompt="Seleccionar producto valido para el proyecto" sqref="H3:H101">
      <formula1>AO3:AQ3</formula1>
    </dataValidation>
    <dataValidation type="list" allowBlank="1" sqref="L3:L101">
      <formula1>L_Cat</formula1>
    </dataValidation>
    <dataValidation type="list" allowBlank="1" sqref="AC3:AC101">
      <formula1>l_Clas</formula1>
    </dataValidation>
    <dataValidation type="list" allowBlank="1" sqref="AE3:AE101">
      <formula1>l_Dim</formula1>
    </dataValidation>
    <dataValidation type="list" allowBlank="1" sqref="AJ3:AK13 AK14:AK101">
      <formula1>#REF!</formula1>
    </dataValidation>
    <dataValidation type="list" allowBlank="1" sqref="E3:E101">
      <formula1>L_Proy</formula1>
    </dataValidation>
    <dataValidation type="list" allowBlank="1" sqref="K3:K101">
      <formula1>L_Ind_Tipo</formula1>
    </dataValidation>
    <dataValidation type="list" allowBlank="1" sqref="AH3:AH101">
      <formula1>L_Dere</formula1>
    </dataValidation>
    <dataValidation type="list" allowBlank="1" showErrorMessage="1" sqref="C3:C101">
      <formula1>L_Proc</formula1>
    </dataValidation>
    <dataValidation type="list" allowBlank="1" sqref="M3:M101">
      <formula1>L_Uni</formula1>
    </dataValidation>
    <dataValidation type="list" allowBlank="1" sqref="AD3:AD101">
      <formula1>l_ObjIns</formula1>
    </dataValidation>
    <dataValidation type="list" allowBlank="1" showInputMessage="1" showErrorMessage="1" prompt="Seleccionar producto valido para el proyecto" sqref="I3:I101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/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5.86"/>
    <col customWidth="1" min="6" max="7" width="17.29"/>
    <col customWidth="1" min="8" max="10" width="34.43"/>
    <col customWidth="1" min="11" max="13" width="17.29"/>
    <col customWidth="1" min="14" max="14" width="38.14"/>
    <col customWidth="1" hidden="1" min="15" max="15" width="17.29"/>
    <col customWidth="1" min="16" max="16" width="17.29"/>
    <col customWidth="1" min="17" max="17" width="38.14"/>
    <col customWidth="1" min="18" max="18" width="21.29"/>
    <col customWidth="1" min="19" max="23" width="17.29"/>
    <col customWidth="1" min="24" max="26" width="18.86"/>
    <col customWidth="1" min="27" max="27" width="26.14"/>
    <col customWidth="1" min="28" max="29" width="18.86"/>
    <col customWidth="1" min="30" max="30" width="34.43"/>
    <col customWidth="1" min="31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143"/>
      <c r="B1" s="144"/>
      <c r="C1" s="145"/>
      <c r="D1" s="144"/>
      <c r="E1" s="143"/>
      <c r="F1" s="144"/>
      <c r="G1" s="144"/>
      <c r="H1" s="143"/>
      <c r="I1" s="143"/>
      <c r="J1" s="143"/>
      <c r="K1" s="144"/>
      <c r="L1" s="144"/>
      <c r="M1" s="144"/>
      <c r="N1" s="143"/>
      <c r="O1" s="146"/>
      <c r="P1" s="147"/>
      <c r="Q1" s="143"/>
      <c r="R1" s="143"/>
      <c r="S1" s="143"/>
      <c r="T1" s="147"/>
      <c r="U1" s="147"/>
      <c r="V1" s="147"/>
      <c r="W1" s="147"/>
      <c r="X1" s="144"/>
      <c r="Y1" s="144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8"/>
      <c r="AM1" s="146"/>
      <c r="AN1" s="149"/>
      <c r="AO1" s="150"/>
      <c r="AP1" s="150"/>
      <c r="AQ1" s="150"/>
      <c r="AR1" s="150"/>
      <c r="AS1" s="150"/>
      <c r="AT1" s="151"/>
      <c r="AU1" s="151"/>
      <c r="AV1" s="151"/>
      <c r="AW1" s="151"/>
      <c r="AX1" s="151"/>
      <c r="AY1" s="150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</row>
    <row r="2" ht="45.0" customHeight="1">
      <c r="A2" s="144"/>
      <c r="B2" s="152" t="s">
        <v>424</v>
      </c>
      <c r="C2" s="153" t="s">
        <v>25</v>
      </c>
      <c r="D2" s="154" t="s">
        <v>425</v>
      </c>
      <c r="E2" s="154" t="s">
        <v>426</v>
      </c>
      <c r="F2" s="155" t="s">
        <v>2</v>
      </c>
      <c r="G2" s="154" t="s">
        <v>3</v>
      </c>
      <c r="H2" s="154" t="s">
        <v>427</v>
      </c>
      <c r="I2" s="154" t="s">
        <v>428</v>
      </c>
      <c r="J2" s="154" t="s">
        <v>429</v>
      </c>
      <c r="K2" s="154" t="s">
        <v>17</v>
      </c>
      <c r="L2" s="154" t="s">
        <v>26</v>
      </c>
      <c r="M2" s="154" t="s">
        <v>27</v>
      </c>
      <c r="N2" s="154" t="s">
        <v>430</v>
      </c>
      <c r="O2" s="156" t="s">
        <v>431</v>
      </c>
      <c r="P2" s="156" t="s">
        <v>432</v>
      </c>
      <c r="Q2" s="154" t="s">
        <v>433</v>
      </c>
      <c r="R2" s="157" t="s">
        <v>434</v>
      </c>
      <c r="S2" s="154" t="s">
        <v>10</v>
      </c>
      <c r="T2" s="158" t="s">
        <v>435</v>
      </c>
      <c r="U2" s="158" t="s">
        <v>436</v>
      </c>
      <c r="V2" s="158" t="s">
        <v>437</v>
      </c>
      <c r="W2" s="158" t="s">
        <v>438</v>
      </c>
      <c r="X2" s="154" t="s">
        <v>439</v>
      </c>
      <c r="Y2" s="154" t="s">
        <v>440</v>
      </c>
      <c r="Z2" s="154" t="s">
        <v>441</v>
      </c>
      <c r="AA2" s="154" t="s">
        <v>442</v>
      </c>
      <c r="AB2" s="154" t="s">
        <v>443</v>
      </c>
      <c r="AC2" s="154" t="s">
        <v>444</v>
      </c>
      <c r="AD2" s="154" t="s">
        <v>19</v>
      </c>
      <c r="AE2" s="154" t="s">
        <v>20</v>
      </c>
      <c r="AF2" s="154" t="s">
        <v>21</v>
      </c>
      <c r="AG2" s="154" t="s">
        <v>22</v>
      </c>
      <c r="AH2" s="154" t="s">
        <v>445</v>
      </c>
      <c r="AI2" s="154" t="s">
        <v>446</v>
      </c>
      <c r="AJ2" s="154" t="s">
        <v>447</v>
      </c>
      <c r="AK2" s="154" t="s">
        <v>23</v>
      </c>
      <c r="AL2" s="153" t="s">
        <v>448</v>
      </c>
      <c r="AM2" s="159" t="s">
        <v>449</v>
      </c>
      <c r="AN2" s="160"/>
      <c r="AO2" s="161" t="s">
        <v>450</v>
      </c>
      <c r="AP2" s="162"/>
      <c r="AQ2" s="162"/>
      <c r="AR2" s="163"/>
      <c r="AS2" s="164" t="s">
        <v>451</v>
      </c>
      <c r="AT2" s="165"/>
      <c r="AU2" s="165"/>
      <c r="AV2" s="165"/>
      <c r="AW2" s="165"/>
      <c r="AX2" s="166"/>
      <c r="AY2" s="167" t="s">
        <v>452</v>
      </c>
      <c r="AZ2" s="168"/>
      <c r="BA2" s="168"/>
      <c r="BB2" s="168"/>
      <c r="BC2" s="168"/>
      <c r="BD2" s="168"/>
      <c r="BE2" s="35"/>
      <c r="BF2" s="35"/>
      <c r="BG2" s="35"/>
      <c r="BH2" s="35"/>
      <c r="BI2" s="35"/>
      <c r="BJ2" s="35"/>
      <c r="BK2" s="35"/>
      <c r="BL2" s="35"/>
      <c r="BM2" s="35"/>
    </row>
    <row r="3" ht="67.5" customHeight="1">
      <c r="A3" s="143"/>
      <c r="B3" s="169">
        <v>1.0</v>
      </c>
      <c r="C3" s="170" t="s">
        <v>90</v>
      </c>
      <c r="D3" s="171" t="s">
        <v>196</v>
      </c>
      <c r="E3" s="172" t="s">
        <v>64</v>
      </c>
      <c r="F3" s="173">
        <f>IF(ISBLANK(E3),"",VLOOKUP(E3,R_Inf_Proy,2,0))</f>
        <v>2019011000280</v>
      </c>
      <c r="G3" s="173" t="str">
        <f>IF(ISBLANK(E3),"",VLOOKUP(E3,R_Inf_Proy,3,0))</f>
        <v>Sostenibilidad</v>
      </c>
      <c r="H3" s="174" t="s">
        <v>67</v>
      </c>
      <c r="I3" s="174" t="s">
        <v>103</v>
      </c>
      <c r="J3" s="174" t="s">
        <v>130</v>
      </c>
      <c r="K3" s="175" t="s">
        <v>82</v>
      </c>
      <c r="L3" s="176" t="s">
        <v>60</v>
      </c>
      <c r="M3" s="176" t="s">
        <v>61</v>
      </c>
      <c r="N3" s="177" t="s">
        <v>728</v>
      </c>
      <c r="O3" s="178"/>
      <c r="P3" s="179">
        <f t="shared" ref="P3:P4" si="1">T3+U3+V3+W3</f>
        <v>1100</v>
      </c>
      <c r="Q3" s="172" t="s">
        <v>729</v>
      </c>
      <c r="R3" s="180" t="s">
        <v>753</v>
      </c>
      <c r="S3" s="180" t="s">
        <v>137</v>
      </c>
      <c r="T3" s="171">
        <v>180.0</v>
      </c>
      <c r="U3" s="171">
        <v>380.0</v>
      </c>
      <c r="V3" s="171">
        <v>360.0</v>
      </c>
      <c r="W3" s="171">
        <v>180.0</v>
      </c>
      <c r="X3" s="171" t="s">
        <v>196</v>
      </c>
      <c r="Y3" s="181" t="s">
        <v>754</v>
      </c>
      <c r="Z3" s="180" t="s">
        <v>755</v>
      </c>
      <c r="AA3" s="180" t="s">
        <v>756</v>
      </c>
      <c r="AB3" s="182" t="s">
        <v>464</v>
      </c>
      <c r="AC3" s="182" t="s">
        <v>302</v>
      </c>
      <c r="AD3" s="182" t="s">
        <v>114</v>
      </c>
      <c r="AE3" s="182" t="s">
        <v>115</v>
      </c>
      <c r="AF3" s="182" t="s">
        <v>116</v>
      </c>
      <c r="AG3" s="182" t="s">
        <v>282</v>
      </c>
      <c r="AH3" s="182"/>
      <c r="AI3" s="183"/>
      <c r="AJ3" s="183"/>
      <c r="AK3" s="184"/>
      <c r="AL3" s="185"/>
      <c r="AM3" s="186" t="str">
        <f>IF(K3="PRODUCTO",VLOOKUP(I3,#REF!,6,0),IF(K3="GESTIÓN",VLOOKUP(E3,#REF!,14,0),""))</f>
        <v/>
      </c>
      <c r="AN3" s="187"/>
      <c r="AO3" s="77" t="str">
        <f t="array" ref="AO3:AQ3">INDEX(R_Proy__ObjEsp,MATCH(E3,L_Proy,0))</f>
        <v>Mejorar la explotación de los recursos pesqueros y de la acuicultura.</v>
      </c>
      <c r="AP3" s="78" t="s">
        <v>68</v>
      </c>
      <c r="AQ3" s="78"/>
      <c r="AR3" s="151"/>
      <c r="AS3" s="78" t="str">
        <f t="array" ref="AS3:AV3">INDEX(R_ObjEsp__Prod,MATCH(H3,L_ObjEsp,0))</f>
        <v>Servicio de ordenación pesquera y de la acuicultura</v>
      </c>
      <c r="AT3" s="188" t="s">
        <v>103</v>
      </c>
      <c r="AU3" s="188"/>
      <c r="AV3" s="188"/>
      <c r="AW3" s="188"/>
      <c r="AX3" s="151"/>
      <c r="AY3" s="78" t="str">
        <f t="array" ref="AY3:BD3">INDEX(R_Pro__Act,MATCH(I3,L_Prod,0))</f>
        <v>Regular el manejo y el ejercicio de la actividad pesquera y de la acuicultura.</v>
      </c>
      <c r="AZ3" s="188" t="s">
        <v>131</v>
      </c>
      <c r="BA3" s="188"/>
      <c r="BB3" s="188"/>
      <c r="BC3" s="188"/>
      <c r="BD3" s="188"/>
      <c r="BE3" s="151"/>
      <c r="BF3" s="151"/>
      <c r="BG3" s="151"/>
      <c r="BH3" s="151"/>
      <c r="BI3" s="151"/>
      <c r="BJ3" s="151"/>
      <c r="BK3" s="151"/>
      <c r="BL3" s="151"/>
      <c r="BM3" s="151"/>
    </row>
    <row r="4" ht="67.5" customHeight="1">
      <c r="A4" s="143"/>
      <c r="B4" s="189">
        <v>2.0</v>
      </c>
      <c r="C4" s="170" t="s">
        <v>90</v>
      </c>
      <c r="D4" s="171" t="s">
        <v>196</v>
      </c>
      <c r="E4" s="172" t="s">
        <v>64</v>
      </c>
      <c r="F4" s="173">
        <f>IF(ISBLANK(E4),"",VLOOKUP(E4,R_Inf_Proy,2,0))</f>
        <v>2019011000280</v>
      </c>
      <c r="G4" s="173" t="str">
        <f>IF(ISBLANK(E4),"",VLOOKUP(E4,R_Inf_Proy,3,0))</f>
        <v>Sostenibilidad</v>
      </c>
      <c r="H4" s="174" t="s">
        <v>67</v>
      </c>
      <c r="I4" s="174" t="s">
        <v>103</v>
      </c>
      <c r="J4" s="174" t="s">
        <v>130</v>
      </c>
      <c r="K4" s="175" t="s">
        <v>82</v>
      </c>
      <c r="L4" s="176" t="s">
        <v>60</v>
      </c>
      <c r="M4" s="176" t="s">
        <v>61</v>
      </c>
      <c r="N4" s="190" t="s">
        <v>757</v>
      </c>
      <c r="O4" s="191"/>
      <c r="P4" s="179">
        <f t="shared" si="1"/>
        <v>750</v>
      </c>
      <c r="Q4" s="172" t="s">
        <v>758</v>
      </c>
      <c r="R4" s="180" t="s">
        <v>753</v>
      </c>
      <c r="S4" s="180" t="s">
        <v>137</v>
      </c>
      <c r="T4" s="179">
        <v>110.0</v>
      </c>
      <c r="U4" s="179">
        <v>280.0</v>
      </c>
      <c r="V4" s="179">
        <v>260.0</v>
      </c>
      <c r="W4" s="171">
        <v>100.0</v>
      </c>
      <c r="X4" s="171" t="s">
        <v>196</v>
      </c>
      <c r="Y4" s="181" t="s">
        <v>754</v>
      </c>
      <c r="Z4" s="180" t="s">
        <v>755</v>
      </c>
      <c r="AA4" s="180" t="s">
        <v>756</v>
      </c>
      <c r="AB4" s="182" t="s">
        <v>464</v>
      </c>
      <c r="AC4" s="182" t="s">
        <v>302</v>
      </c>
      <c r="AD4" s="182" t="s">
        <v>114</v>
      </c>
      <c r="AE4" s="182" t="s">
        <v>115</v>
      </c>
      <c r="AF4" s="182" t="s">
        <v>116</v>
      </c>
      <c r="AG4" s="182" t="s">
        <v>282</v>
      </c>
      <c r="AH4" s="182"/>
      <c r="AI4" s="183"/>
      <c r="AJ4" s="183"/>
      <c r="AK4" s="184"/>
      <c r="AL4" s="185"/>
      <c r="AM4" s="186"/>
      <c r="AN4" s="187"/>
      <c r="AO4" s="77"/>
      <c r="AP4" s="78"/>
      <c r="AQ4" s="78"/>
      <c r="AR4" s="151"/>
      <c r="AS4" s="78"/>
      <c r="AT4" s="188"/>
      <c r="AU4" s="188"/>
      <c r="AV4" s="188"/>
      <c r="AW4" s="188"/>
      <c r="AX4" s="151"/>
      <c r="AY4" s="78"/>
      <c r="AZ4" s="188"/>
      <c r="BA4" s="188"/>
      <c r="BB4" s="188"/>
      <c r="BC4" s="188"/>
      <c r="BD4" s="188"/>
      <c r="BE4" s="151"/>
      <c r="BF4" s="151"/>
      <c r="BG4" s="151"/>
      <c r="BH4" s="151"/>
      <c r="BI4" s="151"/>
      <c r="BJ4" s="151"/>
      <c r="BK4" s="151"/>
      <c r="BL4" s="151"/>
      <c r="BM4" s="151"/>
    </row>
    <row r="5" ht="67.5" customHeight="1">
      <c r="A5" s="143"/>
      <c r="B5" s="189">
        <v>3.0</v>
      </c>
      <c r="C5" s="170" t="s">
        <v>90</v>
      </c>
      <c r="D5" s="171" t="s">
        <v>196</v>
      </c>
      <c r="E5" s="172" t="s">
        <v>64</v>
      </c>
      <c r="F5" s="173">
        <f>IF(ISBLANK(E5),"",VLOOKUP(E5,R_Inf_Proy,2,0))</f>
        <v>2019011000280</v>
      </c>
      <c r="G5" s="173" t="str">
        <f>IF(ISBLANK(E5),"",VLOOKUP(E5,R_Inf_Proy,3,0))</f>
        <v>Sostenibilidad</v>
      </c>
      <c r="H5" s="174" t="s">
        <v>67</v>
      </c>
      <c r="I5" s="174" t="s">
        <v>103</v>
      </c>
      <c r="J5" s="174" t="s">
        <v>130</v>
      </c>
      <c r="K5" s="175" t="s">
        <v>51</v>
      </c>
      <c r="L5" s="176" t="s">
        <v>60</v>
      </c>
      <c r="M5" s="176" t="s">
        <v>61</v>
      </c>
      <c r="N5" s="177" t="s">
        <v>759</v>
      </c>
      <c r="O5" s="191"/>
      <c r="P5" s="179">
        <v>1500.0</v>
      </c>
      <c r="Q5" s="172" t="s">
        <v>760</v>
      </c>
      <c r="R5" s="180" t="s">
        <v>753</v>
      </c>
      <c r="S5" s="180" t="s">
        <v>137</v>
      </c>
      <c r="T5" s="179">
        <v>200.0</v>
      </c>
      <c r="U5" s="179">
        <v>500.0</v>
      </c>
      <c r="V5" s="179">
        <v>500.0</v>
      </c>
      <c r="W5" s="171">
        <v>300.0</v>
      </c>
      <c r="X5" s="171" t="s">
        <v>196</v>
      </c>
      <c r="Y5" s="181" t="s">
        <v>754</v>
      </c>
      <c r="Z5" s="180" t="s">
        <v>755</v>
      </c>
      <c r="AA5" s="180" t="s">
        <v>756</v>
      </c>
      <c r="AB5" s="182" t="s">
        <v>464</v>
      </c>
      <c r="AC5" s="182" t="s">
        <v>302</v>
      </c>
      <c r="AD5" s="182" t="s">
        <v>114</v>
      </c>
      <c r="AE5" s="182" t="s">
        <v>115</v>
      </c>
      <c r="AF5" s="182" t="s">
        <v>116</v>
      </c>
      <c r="AG5" s="182" t="s">
        <v>282</v>
      </c>
      <c r="AH5" s="182"/>
      <c r="AI5" s="183"/>
      <c r="AJ5" s="183"/>
      <c r="AK5" s="184"/>
      <c r="AL5" s="185"/>
      <c r="AM5" s="186"/>
      <c r="AN5" s="187"/>
      <c r="AO5" s="77"/>
      <c r="AP5" s="78"/>
      <c r="AQ5" s="78"/>
      <c r="AR5" s="151"/>
      <c r="AS5" s="78"/>
      <c r="AT5" s="188"/>
      <c r="AU5" s="188"/>
      <c r="AV5" s="188"/>
      <c r="AW5" s="188"/>
      <c r="AX5" s="151"/>
      <c r="AY5" s="78"/>
      <c r="AZ5" s="188"/>
      <c r="BA5" s="188"/>
      <c r="BB5" s="188"/>
      <c r="BC5" s="188"/>
      <c r="BD5" s="188"/>
      <c r="BE5" s="151"/>
      <c r="BF5" s="151"/>
      <c r="BG5" s="151"/>
      <c r="BH5" s="151"/>
      <c r="BI5" s="151"/>
      <c r="BJ5" s="151"/>
      <c r="BK5" s="151"/>
      <c r="BL5" s="151"/>
      <c r="BM5" s="151"/>
    </row>
    <row r="6" ht="84.0" customHeight="1">
      <c r="A6" s="143"/>
      <c r="B6" s="169">
        <v>4.0</v>
      </c>
      <c r="C6" s="192" t="s">
        <v>90</v>
      </c>
      <c r="D6" s="193" t="s">
        <v>196</v>
      </c>
      <c r="E6" s="194" t="s">
        <v>64</v>
      </c>
      <c r="F6" s="173">
        <f>IF(ISBLANK(E6),"",VLOOKUP(E6,R_Inf_Proy,2,0))</f>
        <v>2019011000280</v>
      </c>
      <c r="G6" s="173" t="str">
        <f>IF(ISBLANK(E6),"",VLOOKUP(E6,R_Inf_Proy,3,0))</f>
        <v>Sostenibilidad</v>
      </c>
      <c r="H6" s="195" t="s">
        <v>68</v>
      </c>
      <c r="I6" s="195" t="s">
        <v>132</v>
      </c>
      <c r="J6" s="195" t="s">
        <v>157</v>
      </c>
      <c r="K6" s="196" t="s">
        <v>82</v>
      </c>
      <c r="L6" s="197" t="s">
        <v>60</v>
      </c>
      <c r="M6" s="197" t="s">
        <v>61</v>
      </c>
      <c r="N6" s="198" t="s">
        <v>761</v>
      </c>
      <c r="O6" s="199"/>
      <c r="P6" s="200">
        <f>T6+U6+V6+W6</f>
        <v>6000000</v>
      </c>
      <c r="Q6" s="194" t="s">
        <v>758</v>
      </c>
      <c r="R6" s="201" t="s">
        <v>762</v>
      </c>
      <c r="S6" s="201" t="s">
        <v>137</v>
      </c>
      <c r="T6" s="200">
        <v>6000000.0</v>
      </c>
      <c r="U6" s="200">
        <v>0.0</v>
      </c>
      <c r="V6" s="200">
        <v>0.0</v>
      </c>
      <c r="W6" s="200">
        <v>0.0</v>
      </c>
      <c r="X6" s="193" t="s">
        <v>196</v>
      </c>
      <c r="Y6" s="202" t="s">
        <v>754</v>
      </c>
      <c r="Z6" s="201" t="s">
        <v>755</v>
      </c>
      <c r="AA6" s="201" t="s">
        <v>756</v>
      </c>
      <c r="AB6" s="203" t="s">
        <v>464</v>
      </c>
      <c r="AC6" s="203" t="s">
        <v>302</v>
      </c>
      <c r="AD6" s="203" t="s">
        <v>114</v>
      </c>
      <c r="AE6" s="203" t="s">
        <v>115</v>
      </c>
      <c r="AF6" s="203" t="s">
        <v>116</v>
      </c>
      <c r="AG6" s="203" t="s">
        <v>282</v>
      </c>
      <c r="AH6" s="203"/>
      <c r="AI6" s="204"/>
      <c r="AJ6" s="204"/>
      <c r="AK6" s="184"/>
      <c r="AL6" s="185"/>
      <c r="AM6" s="186"/>
      <c r="AN6" s="187"/>
      <c r="AO6" s="77"/>
      <c r="AP6" s="78"/>
      <c r="AQ6" s="78"/>
      <c r="AR6" s="151"/>
      <c r="AS6" s="78"/>
      <c r="AT6" s="188"/>
      <c r="AU6" s="188"/>
      <c r="AV6" s="188"/>
      <c r="AW6" s="188"/>
      <c r="AX6" s="151"/>
      <c r="AY6" s="78"/>
      <c r="AZ6" s="188"/>
      <c r="BA6" s="188"/>
      <c r="BB6" s="188"/>
      <c r="BC6" s="188"/>
      <c r="BD6" s="188"/>
      <c r="BE6" s="151"/>
      <c r="BF6" s="151"/>
      <c r="BG6" s="151"/>
      <c r="BH6" s="151"/>
      <c r="BI6" s="151"/>
      <c r="BJ6" s="151"/>
      <c r="BK6" s="151"/>
      <c r="BL6" s="151"/>
      <c r="BM6" s="151"/>
    </row>
    <row r="7" ht="67.5" customHeight="1">
      <c r="A7" s="143"/>
      <c r="B7" s="189">
        <v>5.0</v>
      </c>
      <c r="C7" s="170" t="s">
        <v>90</v>
      </c>
      <c r="D7" s="171" t="s">
        <v>196</v>
      </c>
      <c r="E7" s="172" t="s">
        <v>64</v>
      </c>
      <c r="F7" s="173">
        <f>IF(ISBLANK(E7),"",VLOOKUP(E7,R_Inf_Proy,2,0))</f>
        <v>2019011000280</v>
      </c>
      <c r="G7" s="173" t="str">
        <f>IF(ISBLANK(E7),"",VLOOKUP(E7,R_Inf_Proy,3,0))</f>
        <v>Sostenibilidad</v>
      </c>
      <c r="H7" s="174" t="s">
        <v>68</v>
      </c>
      <c r="I7" s="174" t="s">
        <v>132</v>
      </c>
      <c r="J7" s="174" t="s">
        <v>157</v>
      </c>
      <c r="K7" s="175" t="s">
        <v>51</v>
      </c>
      <c r="L7" s="176" t="s">
        <v>60</v>
      </c>
      <c r="M7" s="176" t="s">
        <v>61</v>
      </c>
      <c r="N7" s="190" t="s">
        <v>763</v>
      </c>
      <c r="O7" s="191"/>
      <c r="P7" s="179">
        <v>1.2E7</v>
      </c>
      <c r="Q7" s="172" t="s">
        <v>764</v>
      </c>
      <c r="R7" s="180" t="s">
        <v>765</v>
      </c>
      <c r="S7" s="180" t="s">
        <v>137</v>
      </c>
      <c r="T7" s="179">
        <v>120000.0</v>
      </c>
      <c r="U7" s="179">
        <v>3800000.0</v>
      </c>
      <c r="V7" s="179">
        <v>4580000.0</v>
      </c>
      <c r="W7" s="179">
        <v>3500000.0</v>
      </c>
      <c r="X7" s="171" t="s">
        <v>196</v>
      </c>
      <c r="Y7" s="181" t="s">
        <v>754</v>
      </c>
      <c r="Z7" s="180" t="s">
        <v>755</v>
      </c>
      <c r="AA7" s="180" t="s">
        <v>756</v>
      </c>
      <c r="AB7" s="182" t="s">
        <v>464</v>
      </c>
      <c r="AC7" s="182" t="s">
        <v>302</v>
      </c>
      <c r="AD7" s="182" t="s">
        <v>84</v>
      </c>
      <c r="AE7" s="182" t="s">
        <v>115</v>
      </c>
      <c r="AF7" s="182" t="s">
        <v>116</v>
      </c>
      <c r="AG7" s="182" t="s">
        <v>282</v>
      </c>
      <c r="AH7" s="182"/>
      <c r="AI7" s="183"/>
      <c r="AJ7" s="183"/>
      <c r="AK7" s="184"/>
      <c r="AL7" s="185"/>
      <c r="AM7" s="186" t="str">
        <f>IF(K7="PRODUCTO",VLOOKUP(I7,#REF!,6,0),IF(K7="GESTIÓN",VLOOKUP(E7,#REF!,14,0),""))</f>
        <v/>
      </c>
      <c r="AN7" s="187"/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151"/>
      <c r="AS7" s="78" t="str">
        <f t="array" ref="AS7:AV7">INDEX(R_ObjEsp__Prod,MATCH(H7,L_ObjEsp,0))</f>
        <v>1-Servicios de apoyo a las estaciones de acuicultura</v>
      </c>
      <c r="AT7" s="188" t="s">
        <v>133</v>
      </c>
      <c r="AU7" s="188" t="s">
        <v>134</v>
      </c>
      <c r="AV7" s="188" t="s">
        <v>135</v>
      </c>
      <c r="AW7" s="188"/>
      <c r="AX7" s="151"/>
      <c r="AY7" s="78" t="str">
        <f t="array" ref="AY7:BD7">INDEX(R_Pro__Act,MATCH(I7,L_Prod,0))</f>
        <v>Desarrollar acciones de extensión rural a través de las estaciones de acuicultura</v>
      </c>
      <c r="AZ7" s="188" t="s">
        <v>157</v>
      </c>
      <c r="BA7" s="188"/>
      <c r="BB7" s="188"/>
      <c r="BC7" s="188"/>
      <c r="BD7" s="188"/>
      <c r="BE7" s="151"/>
      <c r="BF7" s="151"/>
      <c r="BG7" s="151"/>
      <c r="BH7" s="151"/>
      <c r="BI7" s="151"/>
      <c r="BJ7" s="151"/>
      <c r="BK7" s="151"/>
      <c r="BL7" s="151"/>
      <c r="BM7" s="151"/>
    </row>
    <row r="8" ht="67.5" customHeight="1">
      <c r="A8" s="143"/>
      <c r="B8" s="189">
        <v>6.0</v>
      </c>
      <c r="C8" s="170" t="s">
        <v>90</v>
      </c>
      <c r="D8" s="171" t="s">
        <v>196</v>
      </c>
      <c r="E8" s="172" t="s">
        <v>64</v>
      </c>
      <c r="F8" s="173">
        <f>IF(ISBLANK(E8),"",VLOOKUP(E8,R_Inf_Proy,2,0))</f>
        <v>2019011000280</v>
      </c>
      <c r="G8" s="173" t="str">
        <f>IF(ISBLANK(E8),"",VLOOKUP(E8,R_Inf_Proy,3,0))</f>
        <v>Sostenibilidad</v>
      </c>
      <c r="H8" s="174" t="s">
        <v>67</v>
      </c>
      <c r="I8" s="174" t="s">
        <v>103</v>
      </c>
      <c r="J8" s="174" t="s">
        <v>130</v>
      </c>
      <c r="K8" s="175" t="s">
        <v>112</v>
      </c>
      <c r="L8" s="176" t="s">
        <v>60</v>
      </c>
      <c r="M8" s="176" t="s">
        <v>61</v>
      </c>
      <c r="N8" s="190" t="s">
        <v>766</v>
      </c>
      <c r="O8" s="191"/>
      <c r="P8" s="205">
        <f t="shared" ref="P8:P14" si="2">T8+U8+V8+W8</f>
        <v>7000</v>
      </c>
      <c r="Q8" s="174" t="s">
        <v>767</v>
      </c>
      <c r="R8" s="180" t="s">
        <v>753</v>
      </c>
      <c r="S8" s="180" t="s">
        <v>137</v>
      </c>
      <c r="T8" s="179">
        <v>1000.0</v>
      </c>
      <c r="U8" s="179">
        <v>2000.0</v>
      </c>
      <c r="V8" s="179">
        <v>2000.0</v>
      </c>
      <c r="W8" s="179">
        <v>2000.0</v>
      </c>
      <c r="X8" s="171" t="s">
        <v>196</v>
      </c>
      <c r="Y8" s="181" t="s">
        <v>754</v>
      </c>
      <c r="Z8" s="180" t="s">
        <v>755</v>
      </c>
      <c r="AA8" s="180" t="s">
        <v>756</v>
      </c>
      <c r="AB8" s="182" t="s">
        <v>464</v>
      </c>
      <c r="AC8" s="182" t="s">
        <v>302</v>
      </c>
      <c r="AD8" s="182" t="s">
        <v>114</v>
      </c>
      <c r="AE8" s="182" t="s">
        <v>115</v>
      </c>
      <c r="AF8" s="182" t="s">
        <v>116</v>
      </c>
      <c r="AG8" s="182" t="s">
        <v>282</v>
      </c>
      <c r="AH8" s="182"/>
      <c r="AI8" s="183"/>
      <c r="AJ8" s="183"/>
      <c r="AK8" s="184"/>
      <c r="AL8" s="185"/>
      <c r="AM8" s="186"/>
      <c r="AN8" s="187"/>
      <c r="AO8" s="77"/>
      <c r="AP8" s="78"/>
      <c r="AQ8" s="78"/>
      <c r="AR8" s="151"/>
      <c r="AS8" s="78"/>
      <c r="AT8" s="188"/>
      <c r="AU8" s="188"/>
      <c r="AV8" s="188"/>
      <c r="AW8" s="188"/>
      <c r="AX8" s="151"/>
      <c r="AY8" s="78"/>
      <c r="AZ8" s="188"/>
      <c r="BA8" s="188"/>
      <c r="BB8" s="188"/>
      <c r="BC8" s="188"/>
      <c r="BD8" s="188"/>
      <c r="BE8" s="151"/>
      <c r="BF8" s="151"/>
      <c r="BG8" s="151"/>
      <c r="BH8" s="151"/>
      <c r="BI8" s="151"/>
      <c r="BJ8" s="151"/>
      <c r="BK8" s="151"/>
      <c r="BL8" s="151"/>
      <c r="BM8" s="151"/>
    </row>
    <row r="9" ht="67.5" customHeight="1">
      <c r="A9" s="143"/>
      <c r="B9" s="169">
        <v>7.0</v>
      </c>
      <c r="C9" s="170" t="s">
        <v>90</v>
      </c>
      <c r="D9" s="171" t="s">
        <v>196</v>
      </c>
      <c r="E9" s="172" t="s">
        <v>64</v>
      </c>
      <c r="F9" s="173">
        <f>IF(ISBLANK(E9),"",VLOOKUP(E9,R_Inf_Proy,2,0))</f>
        <v>2019011000280</v>
      </c>
      <c r="G9" s="173" t="str">
        <f>IF(ISBLANK(E9),"",VLOOKUP(E9,R_Inf_Proy,3,0))</f>
        <v>Sostenibilidad</v>
      </c>
      <c r="H9" s="174" t="s">
        <v>68</v>
      </c>
      <c r="I9" s="174" t="s">
        <v>134</v>
      </c>
      <c r="J9" s="174" t="s">
        <v>156</v>
      </c>
      <c r="K9" s="175" t="s">
        <v>82</v>
      </c>
      <c r="L9" s="176" t="s">
        <v>60</v>
      </c>
      <c r="M9" s="176" t="s">
        <v>61</v>
      </c>
      <c r="N9" s="190" t="s">
        <v>768</v>
      </c>
      <c r="O9" s="191"/>
      <c r="P9" s="171">
        <f t="shared" si="2"/>
        <v>5</v>
      </c>
      <c r="Q9" s="172" t="s">
        <v>769</v>
      </c>
      <c r="R9" s="180" t="s">
        <v>770</v>
      </c>
      <c r="S9" s="180" t="s">
        <v>137</v>
      </c>
      <c r="T9" s="171">
        <v>0.0</v>
      </c>
      <c r="U9" s="171">
        <v>2.0</v>
      </c>
      <c r="V9" s="171">
        <v>2.0</v>
      </c>
      <c r="W9" s="171">
        <v>1.0</v>
      </c>
      <c r="X9" s="171" t="s">
        <v>196</v>
      </c>
      <c r="Y9" s="181" t="s">
        <v>754</v>
      </c>
      <c r="Z9" s="180" t="s">
        <v>755</v>
      </c>
      <c r="AA9" s="180" t="s">
        <v>756</v>
      </c>
      <c r="AB9" s="182" t="s">
        <v>464</v>
      </c>
      <c r="AC9" s="182" t="s">
        <v>302</v>
      </c>
      <c r="AD9" s="182" t="s">
        <v>84</v>
      </c>
      <c r="AE9" s="182" t="s">
        <v>115</v>
      </c>
      <c r="AF9" s="182" t="s">
        <v>116</v>
      </c>
      <c r="AG9" s="182" t="s">
        <v>282</v>
      </c>
      <c r="AH9" s="182"/>
      <c r="AI9" s="183"/>
      <c r="AJ9" s="183"/>
      <c r="AK9" s="184"/>
      <c r="AL9" s="185"/>
      <c r="AM9" s="186" t="str">
        <f>IF(K9="PRODUCTO",VLOOKUP(I9,#REF!,6,0),IF(K9="GESTIÓN",VLOOKUP(E9,#REF!,14,0),""))</f>
        <v/>
      </c>
      <c r="AN9" s="187"/>
      <c r="AO9" s="77" t="str">
        <f t="array" ref="AO9:AQ9">INDEX(R_Proy__ObjEsp,MATCH(E9,L_Proy,0))</f>
        <v>Mejorar la explotación de los recursos pesqueros y de la acuicultura.</v>
      </c>
      <c r="AP9" s="78" t="s">
        <v>68</v>
      </c>
      <c r="AQ9" s="78"/>
      <c r="AR9" s="151"/>
      <c r="AS9" s="78" t="str">
        <f t="array" ref="AS9:AV9">INDEX(R_ObjEsp__Prod,MATCH(H9,L_ObjEsp,0))</f>
        <v>1-Servicios de apoyo a las estaciones de acuicultura</v>
      </c>
      <c r="AT9" s="188" t="s">
        <v>133</v>
      </c>
      <c r="AU9" s="188" t="s">
        <v>134</v>
      </c>
      <c r="AV9" s="188" t="s">
        <v>135</v>
      </c>
      <c r="AW9" s="188"/>
      <c r="AX9" s="151"/>
      <c r="AY9" s="78" t="str">
        <f t="array" ref="AY9:BD9">INDEX(R_Pro__Act,MATCH(I9,L_Prod,0))</f>
        <v>Desarrollar acciones de extensión rural a través de las estaciones de acuicultura</v>
      </c>
      <c r="AZ9" s="188" t="s">
        <v>157</v>
      </c>
      <c r="BA9" s="188"/>
      <c r="BB9" s="188"/>
      <c r="BC9" s="188"/>
      <c r="BD9" s="188"/>
      <c r="BE9" s="151"/>
      <c r="BF9" s="151"/>
      <c r="BG9" s="151"/>
      <c r="BH9" s="151"/>
      <c r="BI9" s="151"/>
      <c r="BJ9" s="151"/>
      <c r="BK9" s="151"/>
      <c r="BL9" s="151"/>
      <c r="BM9" s="151"/>
    </row>
    <row r="10" ht="84.0" customHeight="1">
      <c r="A10" s="143"/>
      <c r="B10" s="189">
        <v>8.0</v>
      </c>
      <c r="C10" s="170" t="s">
        <v>90</v>
      </c>
      <c r="D10" s="171" t="s">
        <v>196</v>
      </c>
      <c r="E10" s="172" t="s">
        <v>64</v>
      </c>
      <c r="F10" s="173">
        <f>IF(ISBLANK(E10),"",VLOOKUP(E10,R_Inf_Proy,2,0))</f>
        <v>2019011000280</v>
      </c>
      <c r="G10" s="173" t="str">
        <f>IF(ISBLANK(E10),"",VLOOKUP(E10,R_Inf_Proy,3,0))</f>
        <v>Sostenibilidad</v>
      </c>
      <c r="H10" s="174" t="s">
        <v>68</v>
      </c>
      <c r="I10" s="174" t="s">
        <v>103</v>
      </c>
      <c r="J10" s="174" t="s">
        <v>131</v>
      </c>
      <c r="K10" s="175" t="s">
        <v>112</v>
      </c>
      <c r="L10" s="176" t="s">
        <v>60</v>
      </c>
      <c r="M10" s="176" t="s">
        <v>61</v>
      </c>
      <c r="N10" s="190" t="s">
        <v>771</v>
      </c>
      <c r="O10" s="191"/>
      <c r="P10" s="179">
        <f t="shared" si="2"/>
        <v>42</v>
      </c>
      <c r="Q10" s="172" t="s">
        <v>772</v>
      </c>
      <c r="R10" s="180" t="s">
        <v>773</v>
      </c>
      <c r="S10" s="180" t="s">
        <v>137</v>
      </c>
      <c r="T10" s="179">
        <v>6.0</v>
      </c>
      <c r="U10" s="179">
        <v>13.0</v>
      </c>
      <c r="V10" s="179">
        <v>13.0</v>
      </c>
      <c r="W10" s="179">
        <v>10.0</v>
      </c>
      <c r="X10" s="171" t="s">
        <v>196</v>
      </c>
      <c r="Y10" s="181" t="s">
        <v>754</v>
      </c>
      <c r="Z10" s="180" t="s">
        <v>755</v>
      </c>
      <c r="AA10" s="180" t="s">
        <v>756</v>
      </c>
      <c r="AB10" s="182" t="s">
        <v>464</v>
      </c>
      <c r="AC10" s="182" t="s">
        <v>302</v>
      </c>
      <c r="AD10" s="182" t="s">
        <v>84</v>
      </c>
      <c r="AE10" s="182" t="s">
        <v>115</v>
      </c>
      <c r="AF10" s="182" t="s">
        <v>116</v>
      </c>
      <c r="AG10" s="182" t="s">
        <v>282</v>
      </c>
      <c r="AH10" s="183"/>
      <c r="AI10" s="183"/>
      <c r="AJ10" s="183"/>
      <c r="AK10" s="184"/>
      <c r="AL10" s="185"/>
      <c r="AM10" s="186"/>
      <c r="AN10" s="187"/>
      <c r="AO10" s="77"/>
      <c r="AP10" s="78"/>
      <c r="AQ10" s="78"/>
      <c r="AR10" s="151"/>
      <c r="AS10" s="78"/>
      <c r="AT10" s="188"/>
      <c r="AU10" s="188"/>
      <c r="AV10" s="188"/>
      <c r="AW10" s="188"/>
      <c r="AX10" s="151"/>
      <c r="AY10" s="78"/>
      <c r="AZ10" s="188"/>
      <c r="BA10" s="188"/>
      <c r="BB10" s="188"/>
      <c r="BC10" s="188"/>
      <c r="BD10" s="188"/>
      <c r="BE10" s="151"/>
      <c r="BF10" s="151"/>
      <c r="BG10" s="151"/>
      <c r="BH10" s="151"/>
      <c r="BI10" s="151"/>
      <c r="BJ10" s="151"/>
      <c r="BK10" s="151"/>
      <c r="BL10" s="151"/>
      <c r="BM10" s="151"/>
    </row>
    <row r="11" ht="79.5" customHeight="1">
      <c r="A11" s="143"/>
      <c r="B11" s="189">
        <v>9.0</v>
      </c>
      <c r="C11" s="170" t="s">
        <v>90</v>
      </c>
      <c r="D11" s="171" t="s">
        <v>196</v>
      </c>
      <c r="E11" s="172" t="s">
        <v>64</v>
      </c>
      <c r="F11" s="173">
        <f>IF(ISBLANK(E11),"",VLOOKUP(E11,R_Inf_Proy,2,0))</f>
        <v>2019011000280</v>
      </c>
      <c r="G11" s="173" t="str">
        <f>IF(ISBLANK(E11),"",VLOOKUP(E11,R_Inf_Proy,3,0))</f>
        <v>Sostenibilidad</v>
      </c>
      <c r="H11" s="174" t="s">
        <v>68</v>
      </c>
      <c r="I11" s="174" t="s">
        <v>103</v>
      </c>
      <c r="J11" s="174" t="s">
        <v>131</v>
      </c>
      <c r="K11" s="175" t="s">
        <v>112</v>
      </c>
      <c r="L11" s="176" t="s">
        <v>60</v>
      </c>
      <c r="M11" s="176" t="s">
        <v>61</v>
      </c>
      <c r="N11" s="190" t="s">
        <v>774</v>
      </c>
      <c r="O11" s="191"/>
      <c r="P11" s="179">
        <f t="shared" si="2"/>
        <v>21</v>
      </c>
      <c r="Q11" s="172" t="s">
        <v>775</v>
      </c>
      <c r="R11" s="180" t="s">
        <v>776</v>
      </c>
      <c r="S11" s="180" t="s">
        <v>137</v>
      </c>
      <c r="T11" s="179">
        <v>4.0</v>
      </c>
      <c r="U11" s="179">
        <v>6.0</v>
      </c>
      <c r="V11" s="179">
        <v>6.0</v>
      </c>
      <c r="W11" s="179">
        <v>5.0</v>
      </c>
      <c r="X11" s="171" t="s">
        <v>196</v>
      </c>
      <c r="Y11" s="181" t="s">
        <v>754</v>
      </c>
      <c r="Z11" s="180" t="s">
        <v>755</v>
      </c>
      <c r="AA11" s="180" t="s">
        <v>756</v>
      </c>
      <c r="AB11" s="182" t="s">
        <v>464</v>
      </c>
      <c r="AC11" s="182" t="s">
        <v>302</v>
      </c>
      <c r="AD11" s="182" t="s">
        <v>84</v>
      </c>
      <c r="AE11" s="182" t="s">
        <v>115</v>
      </c>
      <c r="AF11" s="182" t="s">
        <v>116</v>
      </c>
      <c r="AG11" s="182" t="s">
        <v>282</v>
      </c>
      <c r="AH11" s="183"/>
      <c r="AI11" s="183"/>
      <c r="AJ11" s="183"/>
      <c r="AK11" s="184"/>
      <c r="AL11" s="185"/>
      <c r="AM11" s="186"/>
      <c r="AN11" s="187"/>
      <c r="AO11" s="77"/>
      <c r="AP11" s="78"/>
      <c r="AQ11" s="78"/>
      <c r="AR11" s="151"/>
      <c r="AS11" s="78"/>
      <c r="AT11" s="188"/>
      <c r="AU11" s="188"/>
      <c r="AV11" s="188"/>
      <c r="AW11" s="188"/>
      <c r="AX11" s="151"/>
      <c r="AY11" s="78"/>
      <c r="AZ11" s="188"/>
      <c r="BA11" s="188"/>
      <c r="BB11" s="188"/>
      <c r="BC11" s="188"/>
      <c r="BD11" s="188"/>
      <c r="BE11" s="151"/>
      <c r="BF11" s="151"/>
      <c r="BG11" s="151"/>
      <c r="BH11" s="151"/>
      <c r="BI11" s="151"/>
      <c r="BJ11" s="151"/>
      <c r="BK11" s="151"/>
      <c r="BL11" s="151"/>
      <c r="BM11" s="151"/>
    </row>
    <row r="12" ht="67.5" customHeight="1">
      <c r="A12" s="143"/>
      <c r="B12" s="169">
        <v>10.0</v>
      </c>
      <c r="C12" s="170" t="s">
        <v>90</v>
      </c>
      <c r="D12" s="171" t="s">
        <v>196</v>
      </c>
      <c r="E12" s="172" t="s">
        <v>64</v>
      </c>
      <c r="F12" s="173">
        <f>IF(ISBLANK(E12),"",VLOOKUP(E12,R_Inf_Proy,2,0))</f>
        <v>2019011000280</v>
      </c>
      <c r="G12" s="173" t="str">
        <f>IF(ISBLANK(E12),"",VLOOKUP(E12,R_Inf_Proy,3,0))</f>
        <v>Sostenibilidad</v>
      </c>
      <c r="H12" s="174" t="s">
        <v>68</v>
      </c>
      <c r="I12" s="174" t="s">
        <v>135</v>
      </c>
      <c r="J12" s="174" t="s">
        <v>206</v>
      </c>
      <c r="K12" s="175" t="s">
        <v>112</v>
      </c>
      <c r="L12" s="176" t="s">
        <v>60</v>
      </c>
      <c r="M12" s="176" t="s">
        <v>61</v>
      </c>
      <c r="N12" s="206" t="s">
        <v>777</v>
      </c>
      <c r="O12" s="191"/>
      <c r="P12" s="179">
        <f t="shared" si="2"/>
        <v>6</v>
      </c>
      <c r="Q12" s="206" t="s">
        <v>778</v>
      </c>
      <c r="R12" s="180" t="s">
        <v>779</v>
      </c>
      <c r="S12" s="180" t="s">
        <v>44</v>
      </c>
      <c r="T12" s="171">
        <v>0.0</v>
      </c>
      <c r="U12" s="171">
        <v>0.0</v>
      </c>
      <c r="V12" s="171">
        <v>0.0</v>
      </c>
      <c r="W12" s="171">
        <v>6.0</v>
      </c>
      <c r="X12" s="171" t="s">
        <v>196</v>
      </c>
      <c r="Y12" s="181" t="s">
        <v>754</v>
      </c>
      <c r="Z12" s="180" t="s">
        <v>755</v>
      </c>
      <c r="AA12" s="180" t="s">
        <v>756</v>
      </c>
      <c r="AB12" s="182" t="s">
        <v>464</v>
      </c>
      <c r="AC12" s="182" t="s">
        <v>302</v>
      </c>
      <c r="AD12" s="182" t="s">
        <v>53</v>
      </c>
      <c r="AE12" s="182" t="s">
        <v>115</v>
      </c>
      <c r="AF12" s="182" t="s">
        <v>116</v>
      </c>
      <c r="AG12" s="182" t="s">
        <v>282</v>
      </c>
      <c r="AH12" s="182"/>
      <c r="AI12" s="183"/>
      <c r="AJ12" s="183"/>
      <c r="AK12" s="184"/>
      <c r="AL12" s="185"/>
      <c r="AM12" s="186"/>
      <c r="AN12" s="187"/>
      <c r="AO12" s="77"/>
      <c r="AP12" s="78"/>
      <c r="AQ12" s="78"/>
      <c r="AR12" s="151"/>
      <c r="AS12" s="78"/>
      <c r="AT12" s="188"/>
      <c r="AU12" s="188"/>
      <c r="AV12" s="188"/>
      <c r="AW12" s="188"/>
      <c r="AX12" s="151"/>
      <c r="AY12" s="78"/>
      <c r="AZ12" s="188"/>
      <c r="BA12" s="188"/>
      <c r="BB12" s="188"/>
      <c r="BC12" s="188"/>
      <c r="BD12" s="188"/>
      <c r="BE12" s="151"/>
      <c r="BF12" s="151"/>
      <c r="BG12" s="151"/>
      <c r="BH12" s="151"/>
      <c r="BI12" s="151"/>
      <c r="BJ12" s="151"/>
      <c r="BK12" s="151"/>
      <c r="BL12" s="151"/>
      <c r="BM12" s="151"/>
    </row>
    <row r="13" ht="91.5" customHeight="1">
      <c r="A13" s="143"/>
      <c r="B13" s="189">
        <v>11.0</v>
      </c>
      <c r="C13" s="192" t="s">
        <v>90</v>
      </c>
      <c r="D13" s="193" t="s">
        <v>196</v>
      </c>
      <c r="E13" s="194" t="s">
        <v>64</v>
      </c>
      <c r="F13" s="173">
        <f>IF(ISBLANK(E13),"",VLOOKUP(E13,R_Inf_Proy,2,0))</f>
        <v>2019011000280</v>
      </c>
      <c r="G13" s="173" t="str">
        <f>IF(ISBLANK(E13),"",VLOOKUP(E13,R_Inf_Proy,3,0))</f>
        <v>Sostenibilidad</v>
      </c>
      <c r="H13" s="195" t="s">
        <v>68</v>
      </c>
      <c r="I13" s="195" t="s">
        <v>135</v>
      </c>
      <c r="J13" s="195" t="s">
        <v>206</v>
      </c>
      <c r="K13" s="196" t="s">
        <v>112</v>
      </c>
      <c r="L13" s="197" t="s">
        <v>60</v>
      </c>
      <c r="M13" s="197" t="s">
        <v>61</v>
      </c>
      <c r="N13" s="207" t="s">
        <v>780</v>
      </c>
      <c r="O13" s="199"/>
      <c r="P13" s="200">
        <f t="shared" si="2"/>
        <v>28</v>
      </c>
      <c r="Q13" s="208" t="s">
        <v>781</v>
      </c>
      <c r="R13" s="201" t="s">
        <v>782</v>
      </c>
      <c r="S13" s="201" t="s">
        <v>137</v>
      </c>
      <c r="T13" s="193">
        <v>7.0</v>
      </c>
      <c r="U13" s="193">
        <v>7.0</v>
      </c>
      <c r="V13" s="193">
        <v>7.0</v>
      </c>
      <c r="W13" s="193">
        <v>7.0</v>
      </c>
      <c r="X13" s="193" t="s">
        <v>196</v>
      </c>
      <c r="Y13" s="202" t="s">
        <v>754</v>
      </c>
      <c r="Z13" s="201" t="s">
        <v>755</v>
      </c>
      <c r="AA13" s="201" t="s">
        <v>756</v>
      </c>
      <c r="AB13" s="203" t="s">
        <v>464</v>
      </c>
      <c r="AC13" s="203" t="s">
        <v>302</v>
      </c>
      <c r="AD13" s="203" t="s">
        <v>53</v>
      </c>
      <c r="AE13" s="203" t="s">
        <v>115</v>
      </c>
      <c r="AF13" s="203" t="s">
        <v>116</v>
      </c>
      <c r="AG13" s="203" t="s">
        <v>282</v>
      </c>
      <c r="AH13" s="203"/>
      <c r="AI13" s="204"/>
      <c r="AJ13" s="204"/>
      <c r="AK13" s="184"/>
      <c r="AL13" s="185"/>
      <c r="AM13" s="186"/>
      <c r="AN13" s="187"/>
      <c r="AO13" s="77"/>
      <c r="AP13" s="78"/>
      <c r="AQ13" s="78"/>
      <c r="AR13" s="151"/>
      <c r="AS13" s="78"/>
      <c r="AT13" s="188"/>
      <c r="AU13" s="188"/>
      <c r="AV13" s="188"/>
      <c r="AW13" s="188"/>
      <c r="AX13" s="151"/>
      <c r="AY13" s="78"/>
      <c r="AZ13" s="188"/>
      <c r="BA13" s="188"/>
      <c r="BB13" s="188"/>
      <c r="BC13" s="188"/>
      <c r="BD13" s="188"/>
      <c r="BE13" s="151"/>
      <c r="BF13" s="151"/>
      <c r="BG13" s="151"/>
      <c r="BH13" s="151"/>
      <c r="BI13" s="151"/>
      <c r="BJ13" s="151"/>
      <c r="BK13" s="151"/>
      <c r="BL13" s="151"/>
      <c r="BM13" s="151"/>
    </row>
    <row r="14" ht="67.5" customHeight="1">
      <c r="A14" s="143"/>
      <c r="B14" s="189">
        <v>12.0</v>
      </c>
      <c r="C14" s="192" t="s">
        <v>90</v>
      </c>
      <c r="D14" s="193" t="s">
        <v>196</v>
      </c>
      <c r="E14" s="194" t="s">
        <v>64</v>
      </c>
      <c r="F14" s="173">
        <f>IF(ISBLANK(E14),"",VLOOKUP(E14,R_Inf_Proy,2,0))</f>
        <v>2019011000280</v>
      </c>
      <c r="G14" s="173" t="str">
        <f>IF(ISBLANK(E14),"",VLOOKUP(E14,R_Inf_Proy,3,0))</f>
        <v>Sostenibilidad</v>
      </c>
      <c r="H14" s="195" t="s">
        <v>67</v>
      </c>
      <c r="I14" s="195" t="s">
        <v>103</v>
      </c>
      <c r="J14" s="195" t="s">
        <v>131</v>
      </c>
      <c r="K14" s="196" t="s">
        <v>112</v>
      </c>
      <c r="L14" s="197" t="s">
        <v>60</v>
      </c>
      <c r="M14" s="197" t="s">
        <v>61</v>
      </c>
      <c r="N14" s="198" t="s">
        <v>783</v>
      </c>
      <c r="O14" s="199"/>
      <c r="P14" s="200">
        <f t="shared" si="2"/>
        <v>28</v>
      </c>
      <c r="Q14" s="194" t="s">
        <v>784</v>
      </c>
      <c r="R14" s="201" t="s">
        <v>785</v>
      </c>
      <c r="S14" s="201" t="s">
        <v>44</v>
      </c>
      <c r="T14" s="193">
        <v>4.0</v>
      </c>
      <c r="U14" s="193">
        <v>9.0</v>
      </c>
      <c r="V14" s="193">
        <v>10.0</v>
      </c>
      <c r="W14" s="193">
        <v>5.0</v>
      </c>
      <c r="X14" s="193" t="s">
        <v>196</v>
      </c>
      <c r="Y14" s="202" t="s">
        <v>754</v>
      </c>
      <c r="Z14" s="201" t="s">
        <v>755</v>
      </c>
      <c r="AA14" s="201" t="s">
        <v>756</v>
      </c>
      <c r="AB14" s="203" t="s">
        <v>464</v>
      </c>
      <c r="AC14" s="203" t="s">
        <v>302</v>
      </c>
      <c r="AD14" s="203" t="s">
        <v>53</v>
      </c>
      <c r="AE14" s="203" t="s">
        <v>115</v>
      </c>
      <c r="AF14" s="203" t="s">
        <v>116</v>
      </c>
      <c r="AG14" s="203" t="s">
        <v>282</v>
      </c>
      <c r="AH14" s="203"/>
      <c r="AI14" s="204"/>
      <c r="AJ14" s="204"/>
      <c r="AK14" s="184"/>
      <c r="AL14" s="185"/>
      <c r="AM14" s="186" t="str">
        <f t="shared" ref="AM14:AM15" si="3">IF(K14="PRODUCTO",VLOOKUP(I14,#REF!,6,0),IF(K14="GESTIÓN",VLOOKUP(E14,#REF!,14,0),""))</f>
        <v/>
      </c>
      <c r="AN14" s="187"/>
      <c r="AO14" s="77" t="str">
        <f t="array" ref="AO14:AQ14">INDEX(R_Proy__ObjEsp,MATCH(E14,L_Proy,0))</f>
        <v>Mejorar la explotación de los recursos pesqueros y de la acuicultura.</v>
      </c>
      <c r="AP14" s="78" t="s">
        <v>68</v>
      </c>
      <c r="AQ14" s="78"/>
      <c r="AR14" s="151"/>
      <c r="AS14" s="78" t="str">
        <f t="array" ref="AS14:AV14">INDEX(R_ObjEsp__Prod,MATCH(H14,L_ObjEsp,0))</f>
        <v>Servicio de ordenación pesquera y de la acuicultura</v>
      </c>
      <c r="AT14" s="188" t="s">
        <v>103</v>
      </c>
      <c r="AU14" s="188"/>
      <c r="AV14" s="188"/>
      <c r="AW14" s="188"/>
      <c r="AX14" s="151"/>
      <c r="AY14" s="78" t="str">
        <f t="array" ref="AY14:BD14">INDEX(R_Pro__Act,MATCH(I14,L_Prod,0))</f>
        <v>Regular el manejo y el ejercicio de la actividad pesquera y de la acuicultura.</v>
      </c>
      <c r="AZ14" s="188" t="s">
        <v>131</v>
      </c>
      <c r="BA14" s="188"/>
      <c r="BB14" s="188"/>
      <c r="BC14" s="188"/>
      <c r="BD14" s="188"/>
      <c r="BE14" s="151"/>
      <c r="BF14" s="151"/>
      <c r="BG14" s="151"/>
      <c r="BH14" s="151"/>
      <c r="BI14" s="151"/>
      <c r="BJ14" s="151"/>
      <c r="BK14" s="151"/>
      <c r="BL14" s="151"/>
      <c r="BM14" s="151"/>
    </row>
    <row r="15" ht="84.0" customHeight="1">
      <c r="A15" s="187"/>
      <c r="B15" s="169">
        <v>13.0</v>
      </c>
      <c r="C15" s="192" t="s">
        <v>90</v>
      </c>
      <c r="D15" s="193" t="s">
        <v>196</v>
      </c>
      <c r="E15" s="194" t="s">
        <v>64</v>
      </c>
      <c r="F15" s="173">
        <f>IF(ISBLANK(E15),"",VLOOKUP(E15,R_Inf_Proy,2,0))</f>
        <v>2019011000280</v>
      </c>
      <c r="G15" s="173" t="str">
        <f>IF(ISBLANK(E15),"",VLOOKUP(E15,R_Inf_Proy,3,0))</f>
        <v>Sostenibilidad</v>
      </c>
      <c r="H15" s="195" t="s">
        <v>67</v>
      </c>
      <c r="I15" s="195" t="s">
        <v>103</v>
      </c>
      <c r="J15" s="195" t="s">
        <v>131</v>
      </c>
      <c r="K15" s="196" t="s">
        <v>51</v>
      </c>
      <c r="L15" s="197" t="s">
        <v>60</v>
      </c>
      <c r="M15" s="197" t="s">
        <v>61</v>
      </c>
      <c r="N15" s="198" t="s">
        <v>786</v>
      </c>
      <c r="O15" s="199"/>
      <c r="P15" s="209">
        <v>1.0</v>
      </c>
      <c r="Q15" s="194" t="s">
        <v>787</v>
      </c>
      <c r="R15" s="201" t="s">
        <v>785</v>
      </c>
      <c r="S15" s="201" t="s">
        <v>137</v>
      </c>
      <c r="T15" s="209">
        <v>1.0</v>
      </c>
      <c r="U15" s="209">
        <v>1.0</v>
      </c>
      <c r="V15" s="193" t="s">
        <v>788</v>
      </c>
      <c r="W15" s="209">
        <v>1.0</v>
      </c>
      <c r="X15" s="193" t="s">
        <v>196</v>
      </c>
      <c r="Y15" s="202" t="s">
        <v>754</v>
      </c>
      <c r="Z15" s="201" t="s">
        <v>755</v>
      </c>
      <c r="AA15" s="201" t="s">
        <v>756</v>
      </c>
      <c r="AB15" s="203" t="s">
        <v>464</v>
      </c>
      <c r="AC15" s="203" t="s">
        <v>302</v>
      </c>
      <c r="AD15" s="203" t="s">
        <v>53</v>
      </c>
      <c r="AE15" s="203" t="s">
        <v>115</v>
      </c>
      <c r="AF15" s="203" t="s">
        <v>116</v>
      </c>
      <c r="AG15" s="203" t="s">
        <v>282</v>
      </c>
      <c r="AH15" s="203"/>
      <c r="AI15" s="204"/>
      <c r="AJ15" s="204"/>
      <c r="AK15" s="184"/>
      <c r="AL15" s="185"/>
      <c r="AM15" s="186" t="str">
        <f t="shared" si="3"/>
        <v/>
      </c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</row>
    <row r="16" ht="75.0" customHeight="1">
      <c r="A16" s="143"/>
      <c r="B16" s="189">
        <v>14.0</v>
      </c>
      <c r="C16" s="170" t="s">
        <v>90</v>
      </c>
      <c r="D16" s="171" t="s">
        <v>196</v>
      </c>
      <c r="E16" s="172" t="s">
        <v>64</v>
      </c>
      <c r="F16" s="173">
        <f>IF(ISBLANK(E16),"",VLOOKUP(E16,R_Inf_Proy,2,0))</f>
        <v>2019011000280</v>
      </c>
      <c r="G16" s="173" t="str">
        <f>IF(ISBLANK(E16),"",VLOOKUP(E16,R_Inf_Proy,3,0))</f>
        <v>Sostenibilidad</v>
      </c>
      <c r="H16" s="174" t="s">
        <v>68</v>
      </c>
      <c r="I16" s="174" t="s">
        <v>135</v>
      </c>
      <c r="J16" s="174" t="s">
        <v>206</v>
      </c>
      <c r="K16" s="175" t="s">
        <v>112</v>
      </c>
      <c r="L16" s="176" t="s">
        <v>60</v>
      </c>
      <c r="M16" s="176" t="s">
        <v>61</v>
      </c>
      <c r="N16" s="190" t="s">
        <v>789</v>
      </c>
      <c r="O16" s="191"/>
      <c r="P16" s="179">
        <f t="shared" ref="P16:P29" si="4">T16+U16+V16+W16</f>
        <v>35</v>
      </c>
      <c r="Q16" s="172" t="s">
        <v>790</v>
      </c>
      <c r="R16" s="180" t="s">
        <v>791</v>
      </c>
      <c r="S16" s="180" t="s">
        <v>137</v>
      </c>
      <c r="T16" s="171">
        <v>5.0</v>
      </c>
      <c r="U16" s="171">
        <v>15.0</v>
      </c>
      <c r="V16" s="171">
        <v>10.0</v>
      </c>
      <c r="W16" s="171">
        <v>5.0</v>
      </c>
      <c r="X16" s="171" t="s">
        <v>196</v>
      </c>
      <c r="Y16" s="181" t="s">
        <v>754</v>
      </c>
      <c r="Z16" s="180" t="s">
        <v>755</v>
      </c>
      <c r="AA16" s="180" t="s">
        <v>756</v>
      </c>
      <c r="AB16" s="182" t="s">
        <v>464</v>
      </c>
      <c r="AC16" s="182" t="s">
        <v>302</v>
      </c>
      <c r="AD16" s="182" t="s">
        <v>53</v>
      </c>
      <c r="AE16" s="182" t="s">
        <v>115</v>
      </c>
      <c r="AF16" s="182" t="s">
        <v>116</v>
      </c>
      <c r="AG16" s="182" t="s">
        <v>282</v>
      </c>
      <c r="AH16" s="182"/>
      <c r="AI16" s="183"/>
      <c r="AJ16" s="183"/>
      <c r="AK16" s="184"/>
      <c r="AL16" s="185"/>
      <c r="AM16" s="186" t="str">
        <f>IF(#REF!="PRODUCTO",VLOOKUP(#REF!,#REF!,6,0),IF(#REF!="GESTIÓN",VLOOKUP(#REF!,#REF!,14,0),""))</f>
        <v>#REF!</v>
      </c>
      <c r="AN16" s="187"/>
      <c r="AO16" s="77" t="str">
        <f t="array" ref="AO16">INDEX(R_Proy__ObjEsp,MATCH(#REF!,L_Proy,0))</f>
        <v>#REF!</v>
      </c>
      <c r="AP16" s="78"/>
      <c r="AQ16" s="78"/>
      <c r="AR16" s="151"/>
      <c r="AS16" s="78" t="str">
        <f t="array" ref="AS16">INDEX(R_ObjEsp__Prod,MATCH(#REF!,L_ObjEsp,0))</f>
        <v>#REF!</v>
      </c>
      <c r="AT16" s="188"/>
      <c r="AU16" s="188"/>
      <c r="AV16" s="188"/>
      <c r="AW16" s="188"/>
      <c r="AX16" s="151"/>
      <c r="AY16" s="78" t="str">
        <f t="array" ref="AY16">INDEX(R_Pro__Act,MATCH(#REF!,L_Prod,0))</f>
        <v>#REF!</v>
      </c>
      <c r="AZ16" s="188"/>
      <c r="BA16" s="188"/>
      <c r="BB16" s="188"/>
      <c r="BC16" s="188"/>
      <c r="BD16" s="188"/>
      <c r="BE16" s="151"/>
      <c r="BF16" s="151"/>
      <c r="BG16" s="151"/>
      <c r="BH16" s="151"/>
      <c r="BI16" s="151"/>
      <c r="BJ16" s="151"/>
      <c r="BK16" s="151"/>
      <c r="BL16" s="151"/>
      <c r="BM16" s="151"/>
    </row>
    <row r="17" ht="82.5" customHeight="1">
      <c r="A17" s="143"/>
      <c r="B17" s="210">
        <v>15.0</v>
      </c>
      <c r="C17" s="211" t="s">
        <v>120</v>
      </c>
      <c r="D17" s="212" t="s">
        <v>196</v>
      </c>
      <c r="E17" s="213" t="s">
        <v>30</v>
      </c>
      <c r="F17" s="173">
        <f>IF(ISBLANK(E17),"",VLOOKUP(E17,R_Inf_Proy,2,0))</f>
        <v>2019011000276</v>
      </c>
      <c r="G17" s="173" t="str">
        <f>IF(ISBLANK(E17),"",VLOOKUP(E17,R_Inf_Proy,3,0))</f>
        <v>Inspección</v>
      </c>
      <c r="H17" s="214" t="s">
        <v>33</v>
      </c>
      <c r="I17" s="214" t="s">
        <v>35</v>
      </c>
      <c r="J17" s="214" t="s">
        <v>40</v>
      </c>
      <c r="K17" s="215" t="s">
        <v>51</v>
      </c>
      <c r="L17" s="216" t="s">
        <v>60</v>
      </c>
      <c r="M17" s="216" t="s">
        <v>61</v>
      </c>
      <c r="N17" s="217" t="s">
        <v>792</v>
      </c>
      <c r="O17" s="218"/>
      <c r="P17" s="219">
        <f t="shared" si="4"/>
        <v>21</v>
      </c>
      <c r="Q17" s="220" t="s">
        <v>793</v>
      </c>
      <c r="R17" s="221" t="s">
        <v>794</v>
      </c>
      <c r="S17" s="221" t="s">
        <v>137</v>
      </c>
      <c r="T17" s="222">
        <v>2.0</v>
      </c>
      <c r="U17" s="223">
        <v>7.0</v>
      </c>
      <c r="V17" s="223">
        <v>8.0</v>
      </c>
      <c r="W17" s="224">
        <v>4.0</v>
      </c>
      <c r="X17" s="212" t="s">
        <v>196</v>
      </c>
      <c r="Y17" s="225" t="s">
        <v>754</v>
      </c>
      <c r="Z17" s="221" t="s">
        <v>755</v>
      </c>
      <c r="AA17" s="221" t="s">
        <v>756</v>
      </c>
      <c r="AB17" s="226" t="s">
        <v>464</v>
      </c>
      <c r="AC17" s="226" t="s">
        <v>302</v>
      </c>
      <c r="AD17" s="226" t="s">
        <v>53</v>
      </c>
      <c r="AE17" s="226" t="s">
        <v>115</v>
      </c>
      <c r="AF17" s="226" t="s">
        <v>116</v>
      </c>
      <c r="AG17" s="226" t="s">
        <v>282</v>
      </c>
      <c r="AH17" s="227"/>
      <c r="AI17" s="227"/>
      <c r="AJ17" s="227"/>
      <c r="AK17" s="184"/>
      <c r="AL17" s="185"/>
      <c r="AM17" s="186" t="str">
        <f>IF(K17="PRODUCTO",VLOOKUP(I17,#REF!,6,0),IF(K17="GESTIÓN",VLOOKUP(E17,#REF!,14,0),""))</f>
        <v/>
      </c>
      <c r="AN17" s="187"/>
      <c r="AO17" s="77" t="str">
        <f t="array" ref="AO17:AQ17">INDEX(R_Proy__ObjEsp,MATCH(E17,L_Proy,0))</f>
        <v>Fortalecer los mecanismos de seguimiento y control de la actividad pesquera y de la acuicultura.</v>
      </c>
      <c r="AP17" s="78" t="s">
        <v>34</v>
      </c>
      <c r="AQ17" s="78"/>
      <c r="AR17" s="151"/>
      <c r="AS17" s="78" t="str">
        <f t="array" ref="AS17:AV17">INDEX(R_ObjEsp__Prod,MATCH(H17,L_ObjEsp,0))</f>
        <v>Servicio de inspección, vigilancia y control de la pesca y la acuicultura</v>
      </c>
      <c r="AT17" s="188"/>
      <c r="AU17" s="188"/>
      <c r="AV17" s="188"/>
      <c r="AW17" s="188"/>
      <c r="AX17" s="151"/>
      <c r="AY17" s="78" t="str">
        <f t="array" ref="AY17:BD17">INDEX(R_Pro__Act,MATCH(I17,L_Prod,0))</f>
        <v>Realizar seguimiento y actualización al registro general de pesca.</v>
      </c>
      <c r="AZ17" s="188" t="s">
        <v>37</v>
      </c>
      <c r="BA17" s="188" t="s">
        <v>38</v>
      </c>
      <c r="BB17" s="188" t="s">
        <v>39</v>
      </c>
      <c r="BC17" s="188" t="s">
        <v>40</v>
      </c>
      <c r="BD17" s="188" t="s">
        <v>41</v>
      </c>
      <c r="BE17" s="151"/>
      <c r="BF17" s="151"/>
      <c r="BG17" s="151"/>
      <c r="BH17" s="151"/>
      <c r="BI17" s="151"/>
      <c r="BJ17" s="151"/>
      <c r="BK17" s="151"/>
      <c r="BL17" s="151"/>
      <c r="BM17" s="151"/>
    </row>
    <row r="18" ht="76.5" customHeight="1">
      <c r="A18" s="143"/>
      <c r="B18" s="228">
        <v>16.0</v>
      </c>
      <c r="C18" s="211" t="s">
        <v>120</v>
      </c>
      <c r="D18" s="212" t="s">
        <v>196</v>
      </c>
      <c r="E18" s="213" t="s">
        <v>30</v>
      </c>
      <c r="F18" s="173">
        <f>IF(ISBLANK(E18),"",VLOOKUP(E18,R_Inf_Proy,2,0))</f>
        <v>2019011000276</v>
      </c>
      <c r="G18" s="173" t="str">
        <f>IF(ISBLANK(E18),"",VLOOKUP(E18,R_Inf_Proy,3,0))</f>
        <v>Inspección</v>
      </c>
      <c r="H18" s="214" t="s">
        <v>33</v>
      </c>
      <c r="I18" s="214" t="s">
        <v>35</v>
      </c>
      <c r="J18" s="214" t="s">
        <v>40</v>
      </c>
      <c r="K18" s="215" t="s">
        <v>51</v>
      </c>
      <c r="L18" s="216" t="s">
        <v>60</v>
      </c>
      <c r="M18" s="216" t="s">
        <v>61</v>
      </c>
      <c r="N18" s="217" t="s">
        <v>795</v>
      </c>
      <c r="O18" s="218"/>
      <c r="P18" s="219">
        <f t="shared" si="4"/>
        <v>200</v>
      </c>
      <c r="Q18" s="220" t="s">
        <v>796</v>
      </c>
      <c r="R18" s="221" t="s">
        <v>794</v>
      </c>
      <c r="S18" s="221"/>
      <c r="T18" s="222">
        <v>30.0</v>
      </c>
      <c r="U18" s="222">
        <v>70.0</v>
      </c>
      <c r="V18" s="222">
        <v>70.0</v>
      </c>
      <c r="W18" s="224">
        <v>30.0</v>
      </c>
      <c r="X18" s="212"/>
      <c r="Y18" s="225"/>
      <c r="Z18" s="221"/>
      <c r="AA18" s="221"/>
      <c r="AB18" s="226"/>
      <c r="AC18" s="226"/>
      <c r="AD18" s="226"/>
      <c r="AE18" s="226"/>
      <c r="AF18" s="226"/>
      <c r="AG18" s="226"/>
      <c r="AH18" s="227"/>
      <c r="AI18" s="227"/>
      <c r="AJ18" s="227"/>
      <c r="AK18" s="184"/>
      <c r="AL18" s="185"/>
      <c r="AM18" s="186"/>
      <c r="AN18" s="187"/>
      <c r="AO18" s="77"/>
      <c r="AP18" s="78"/>
      <c r="AQ18" s="78"/>
      <c r="AR18" s="151"/>
      <c r="AS18" s="78"/>
      <c r="AT18" s="188"/>
      <c r="AU18" s="188"/>
      <c r="AV18" s="188"/>
      <c r="AW18" s="188"/>
      <c r="AX18" s="151"/>
      <c r="AY18" s="78"/>
      <c r="AZ18" s="188"/>
      <c r="BA18" s="188"/>
      <c r="BB18" s="188"/>
      <c r="BC18" s="188"/>
      <c r="BD18" s="188"/>
      <c r="BE18" s="151"/>
      <c r="BF18" s="151"/>
      <c r="BG18" s="151"/>
      <c r="BH18" s="151"/>
      <c r="BI18" s="151"/>
      <c r="BJ18" s="151"/>
      <c r="BK18" s="151"/>
      <c r="BL18" s="151"/>
      <c r="BM18" s="151"/>
    </row>
    <row r="19" ht="79.5" customHeight="1">
      <c r="A19" s="143"/>
      <c r="B19" s="210">
        <v>17.0</v>
      </c>
      <c r="C19" s="211" t="s">
        <v>120</v>
      </c>
      <c r="D19" s="212" t="s">
        <v>196</v>
      </c>
      <c r="E19" s="213" t="s">
        <v>30</v>
      </c>
      <c r="F19" s="173">
        <f>IF(ISBLANK(E19),"",VLOOKUP(E19,R_Inf_Proy,2,0))</f>
        <v>2019011000276</v>
      </c>
      <c r="G19" s="173" t="str">
        <f>IF(ISBLANK(E19),"",VLOOKUP(E19,R_Inf_Proy,3,0))</f>
        <v>Inspección</v>
      </c>
      <c r="H19" s="214" t="s">
        <v>33</v>
      </c>
      <c r="I19" s="214" t="s">
        <v>35</v>
      </c>
      <c r="J19" s="214" t="s">
        <v>40</v>
      </c>
      <c r="K19" s="215" t="s">
        <v>51</v>
      </c>
      <c r="L19" s="216" t="s">
        <v>60</v>
      </c>
      <c r="M19" s="216" t="s">
        <v>61</v>
      </c>
      <c r="N19" s="217" t="s">
        <v>797</v>
      </c>
      <c r="O19" s="218"/>
      <c r="P19" s="219">
        <f t="shared" si="4"/>
        <v>50</v>
      </c>
      <c r="Q19" s="220" t="s">
        <v>798</v>
      </c>
      <c r="R19" s="221" t="s">
        <v>794</v>
      </c>
      <c r="S19" s="221"/>
      <c r="T19" s="222">
        <v>5.0</v>
      </c>
      <c r="U19" s="222">
        <v>17.0</v>
      </c>
      <c r="V19" s="222">
        <v>20.0</v>
      </c>
      <c r="W19" s="224">
        <v>8.0</v>
      </c>
      <c r="X19" s="212"/>
      <c r="Y19" s="225"/>
      <c r="Z19" s="221"/>
      <c r="AA19" s="221"/>
      <c r="AB19" s="226"/>
      <c r="AC19" s="226"/>
      <c r="AD19" s="226"/>
      <c r="AE19" s="226"/>
      <c r="AF19" s="226"/>
      <c r="AG19" s="226"/>
      <c r="AH19" s="227"/>
      <c r="AI19" s="227"/>
      <c r="AJ19" s="227"/>
      <c r="AK19" s="184"/>
      <c r="AL19" s="185"/>
      <c r="AM19" s="186"/>
      <c r="AN19" s="187"/>
      <c r="AO19" s="77"/>
      <c r="AP19" s="78"/>
      <c r="AQ19" s="78"/>
      <c r="AR19" s="151"/>
      <c r="AS19" s="78"/>
      <c r="AT19" s="188"/>
      <c r="AU19" s="188"/>
      <c r="AV19" s="188"/>
      <c r="AW19" s="188"/>
      <c r="AX19" s="151"/>
      <c r="AY19" s="78"/>
      <c r="AZ19" s="188"/>
      <c r="BA19" s="188"/>
      <c r="BB19" s="188"/>
      <c r="BC19" s="188"/>
      <c r="BD19" s="188"/>
      <c r="BE19" s="151"/>
      <c r="BF19" s="151"/>
      <c r="BG19" s="151"/>
      <c r="BH19" s="151"/>
      <c r="BI19" s="151"/>
      <c r="BJ19" s="151"/>
      <c r="BK19" s="151"/>
      <c r="BL19" s="151"/>
      <c r="BM19" s="151"/>
    </row>
    <row r="20" ht="96.0" customHeight="1">
      <c r="A20" s="143"/>
      <c r="B20" s="228">
        <v>18.0</v>
      </c>
      <c r="C20" s="211" t="s">
        <v>120</v>
      </c>
      <c r="D20" s="212" t="s">
        <v>196</v>
      </c>
      <c r="E20" s="213" t="s">
        <v>30</v>
      </c>
      <c r="F20" s="173">
        <f>IF(ISBLANK(E20),"",VLOOKUP(E20,R_Inf_Proy,2,0))</f>
        <v>2019011000276</v>
      </c>
      <c r="G20" s="173" t="str">
        <f>IF(ISBLANK(E20),"",VLOOKUP(E20,R_Inf_Proy,3,0))</f>
        <v>Inspección</v>
      </c>
      <c r="H20" s="214" t="s">
        <v>33</v>
      </c>
      <c r="I20" s="214" t="s">
        <v>35</v>
      </c>
      <c r="J20" s="214" t="s">
        <v>40</v>
      </c>
      <c r="K20" s="215" t="s">
        <v>51</v>
      </c>
      <c r="L20" s="216" t="s">
        <v>60</v>
      </c>
      <c r="M20" s="216" t="s">
        <v>61</v>
      </c>
      <c r="N20" s="217" t="s">
        <v>799</v>
      </c>
      <c r="O20" s="218"/>
      <c r="P20" s="219">
        <f t="shared" si="4"/>
        <v>200</v>
      </c>
      <c r="Q20" s="220" t="s">
        <v>800</v>
      </c>
      <c r="R20" s="221" t="s">
        <v>794</v>
      </c>
      <c r="S20" s="221"/>
      <c r="T20" s="222">
        <v>30.0</v>
      </c>
      <c r="U20" s="222">
        <v>70.0</v>
      </c>
      <c r="V20" s="222">
        <v>70.0</v>
      </c>
      <c r="W20" s="224">
        <v>30.0</v>
      </c>
      <c r="X20" s="212"/>
      <c r="Y20" s="225"/>
      <c r="Z20" s="221"/>
      <c r="AA20" s="221"/>
      <c r="AB20" s="226"/>
      <c r="AC20" s="226"/>
      <c r="AD20" s="226"/>
      <c r="AE20" s="226"/>
      <c r="AF20" s="226"/>
      <c r="AG20" s="226"/>
      <c r="AH20" s="227"/>
      <c r="AI20" s="227"/>
      <c r="AJ20" s="227"/>
      <c r="AK20" s="184"/>
      <c r="AL20" s="185"/>
      <c r="AM20" s="186"/>
      <c r="AN20" s="187"/>
      <c r="AO20" s="77"/>
      <c r="AP20" s="78"/>
      <c r="AQ20" s="78"/>
      <c r="AR20" s="151"/>
      <c r="AS20" s="78"/>
      <c r="AT20" s="188"/>
      <c r="AU20" s="188"/>
      <c r="AV20" s="188"/>
      <c r="AW20" s="188"/>
      <c r="AX20" s="151"/>
      <c r="AY20" s="78"/>
      <c r="AZ20" s="188"/>
      <c r="BA20" s="188"/>
      <c r="BB20" s="188"/>
      <c r="BC20" s="188"/>
      <c r="BD20" s="188"/>
      <c r="BE20" s="151"/>
      <c r="BF20" s="151"/>
      <c r="BG20" s="151"/>
      <c r="BH20" s="151"/>
      <c r="BI20" s="151"/>
      <c r="BJ20" s="151"/>
      <c r="BK20" s="151"/>
      <c r="BL20" s="151"/>
      <c r="BM20" s="151"/>
    </row>
    <row r="21" ht="72.0" customHeight="1">
      <c r="A21" s="143"/>
      <c r="B21" s="210">
        <v>19.0</v>
      </c>
      <c r="C21" s="211" t="s">
        <v>120</v>
      </c>
      <c r="D21" s="212" t="s">
        <v>196</v>
      </c>
      <c r="E21" s="213" t="s">
        <v>30</v>
      </c>
      <c r="F21" s="173">
        <f>IF(ISBLANK(E21),"",VLOOKUP(E21,R_Inf_Proy,2,0))</f>
        <v>2019011000276</v>
      </c>
      <c r="G21" s="173" t="str">
        <f>IF(ISBLANK(E21),"",VLOOKUP(E21,R_Inf_Proy,3,0))</f>
        <v>Inspección</v>
      </c>
      <c r="H21" s="214" t="s">
        <v>33</v>
      </c>
      <c r="I21" s="214" t="s">
        <v>35</v>
      </c>
      <c r="J21" s="214" t="s">
        <v>40</v>
      </c>
      <c r="K21" s="215" t="s">
        <v>51</v>
      </c>
      <c r="L21" s="216" t="s">
        <v>60</v>
      </c>
      <c r="M21" s="216" t="s">
        <v>61</v>
      </c>
      <c r="N21" s="217" t="s">
        <v>801</v>
      </c>
      <c r="O21" s="218"/>
      <c r="P21" s="219">
        <f t="shared" si="4"/>
        <v>30</v>
      </c>
      <c r="Q21" s="220" t="s">
        <v>802</v>
      </c>
      <c r="R21" s="221" t="s">
        <v>794</v>
      </c>
      <c r="S21" s="221"/>
      <c r="T21" s="222">
        <v>5.0</v>
      </c>
      <c r="U21" s="222">
        <v>10.0</v>
      </c>
      <c r="V21" s="222">
        <v>12.0</v>
      </c>
      <c r="W21" s="224">
        <v>3.0</v>
      </c>
      <c r="X21" s="212"/>
      <c r="Y21" s="225"/>
      <c r="Z21" s="221"/>
      <c r="AA21" s="221"/>
      <c r="AB21" s="226"/>
      <c r="AC21" s="226"/>
      <c r="AD21" s="226"/>
      <c r="AE21" s="226"/>
      <c r="AF21" s="226"/>
      <c r="AG21" s="226"/>
      <c r="AH21" s="227"/>
      <c r="AI21" s="227"/>
      <c r="AJ21" s="227"/>
      <c r="AK21" s="184"/>
      <c r="AL21" s="185"/>
      <c r="AM21" s="186"/>
      <c r="AN21" s="187"/>
      <c r="AO21" s="77"/>
      <c r="AP21" s="78"/>
      <c r="AQ21" s="78"/>
      <c r="AR21" s="151"/>
      <c r="AS21" s="78"/>
      <c r="AT21" s="188"/>
      <c r="AU21" s="188"/>
      <c r="AV21" s="188"/>
      <c r="AW21" s="188"/>
      <c r="AX21" s="151"/>
      <c r="AY21" s="78"/>
      <c r="AZ21" s="188"/>
      <c r="BA21" s="188"/>
      <c r="BB21" s="188"/>
      <c r="BC21" s="188"/>
      <c r="BD21" s="188"/>
      <c r="BE21" s="151"/>
      <c r="BF21" s="151"/>
      <c r="BG21" s="151"/>
      <c r="BH21" s="151"/>
      <c r="BI21" s="151"/>
      <c r="BJ21" s="151"/>
      <c r="BK21" s="151"/>
      <c r="BL21" s="151"/>
      <c r="BM21" s="151"/>
    </row>
    <row r="22" ht="90.0" customHeight="1">
      <c r="A22" s="143"/>
      <c r="B22" s="228">
        <v>20.0</v>
      </c>
      <c r="C22" s="211" t="s">
        <v>120</v>
      </c>
      <c r="D22" s="212" t="s">
        <v>196</v>
      </c>
      <c r="E22" s="213" t="s">
        <v>30</v>
      </c>
      <c r="F22" s="173">
        <f>IF(ISBLANK(E22),"",VLOOKUP(E22,R_Inf_Proy,2,0))</f>
        <v>2019011000276</v>
      </c>
      <c r="G22" s="173" t="str">
        <f>IF(ISBLANK(E22),"",VLOOKUP(E22,R_Inf_Proy,3,0))</f>
        <v>Inspección</v>
      </c>
      <c r="H22" s="214" t="s">
        <v>33</v>
      </c>
      <c r="I22" s="214" t="s">
        <v>35</v>
      </c>
      <c r="J22" s="214" t="s">
        <v>40</v>
      </c>
      <c r="K22" s="215" t="s">
        <v>51</v>
      </c>
      <c r="L22" s="216" t="s">
        <v>60</v>
      </c>
      <c r="M22" s="216" t="s">
        <v>61</v>
      </c>
      <c r="N22" s="217" t="s">
        <v>803</v>
      </c>
      <c r="O22" s="218"/>
      <c r="P22" s="219">
        <f t="shared" si="4"/>
        <v>50</v>
      </c>
      <c r="Q22" s="220" t="s">
        <v>804</v>
      </c>
      <c r="R22" s="221" t="s">
        <v>794</v>
      </c>
      <c r="S22" s="221"/>
      <c r="T22" s="222">
        <v>8.0</v>
      </c>
      <c r="U22" s="222">
        <v>15.0</v>
      </c>
      <c r="V22" s="222">
        <v>17.0</v>
      </c>
      <c r="W22" s="224">
        <v>10.0</v>
      </c>
      <c r="X22" s="212"/>
      <c r="Y22" s="225"/>
      <c r="Z22" s="221"/>
      <c r="AA22" s="221"/>
      <c r="AB22" s="226"/>
      <c r="AC22" s="226"/>
      <c r="AD22" s="226"/>
      <c r="AE22" s="226"/>
      <c r="AF22" s="226"/>
      <c r="AG22" s="226"/>
      <c r="AH22" s="227"/>
      <c r="AI22" s="227"/>
      <c r="AJ22" s="227"/>
      <c r="AK22" s="184"/>
      <c r="AL22" s="185"/>
      <c r="AM22" s="186"/>
      <c r="AN22" s="187"/>
      <c r="AO22" s="77"/>
      <c r="AP22" s="78"/>
      <c r="AQ22" s="78"/>
      <c r="AR22" s="151"/>
      <c r="AS22" s="78"/>
      <c r="AT22" s="188"/>
      <c r="AU22" s="188"/>
      <c r="AV22" s="188"/>
      <c r="AW22" s="188"/>
      <c r="AX22" s="151"/>
      <c r="AY22" s="78"/>
      <c r="AZ22" s="188"/>
      <c r="BA22" s="188"/>
      <c r="BB22" s="188"/>
      <c r="BC22" s="188"/>
      <c r="BD22" s="188"/>
      <c r="BE22" s="151"/>
      <c r="BF22" s="151"/>
      <c r="BG22" s="151"/>
      <c r="BH22" s="151"/>
      <c r="BI22" s="151"/>
      <c r="BJ22" s="151"/>
      <c r="BK22" s="151"/>
      <c r="BL22" s="151"/>
      <c r="BM22" s="151"/>
    </row>
    <row r="23" ht="90.0" customHeight="1">
      <c r="A23" s="143"/>
      <c r="B23" s="210">
        <v>21.0</v>
      </c>
      <c r="C23" s="211" t="s">
        <v>120</v>
      </c>
      <c r="D23" s="212" t="s">
        <v>196</v>
      </c>
      <c r="E23" s="213" t="s">
        <v>30</v>
      </c>
      <c r="F23" s="173">
        <f>IF(ISBLANK(E23),"",VLOOKUP(E23,R_Inf_Proy,2,0))</f>
        <v>2019011000276</v>
      </c>
      <c r="G23" s="173" t="str">
        <f>IF(ISBLANK(E23),"",VLOOKUP(E23,R_Inf_Proy,3,0))</f>
        <v>Inspección</v>
      </c>
      <c r="H23" s="214" t="s">
        <v>33</v>
      </c>
      <c r="I23" s="214" t="s">
        <v>35</v>
      </c>
      <c r="J23" s="214" t="s">
        <v>40</v>
      </c>
      <c r="K23" s="215" t="s">
        <v>51</v>
      </c>
      <c r="L23" s="216" t="s">
        <v>60</v>
      </c>
      <c r="M23" s="216" t="s">
        <v>61</v>
      </c>
      <c r="N23" s="217" t="s">
        <v>805</v>
      </c>
      <c r="O23" s="218"/>
      <c r="P23" s="219">
        <f t="shared" si="4"/>
        <v>30</v>
      </c>
      <c r="Q23" s="220" t="s">
        <v>806</v>
      </c>
      <c r="R23" s="221" t="s">
        <v>794</v>
      </c>
      <c r="S23" s="221"/>
      <c r="T23" s="222">
        <v>10.0</v>
      </c>
      <c r="U23" s="222">
        <v>7.0</v>
      </c>
      <c r="V23" s="222">
        <v>10.0</v>
      </c>
      <c r="W23" s="224">
        <v>3.0</v>
      </c>
      <c r="X23" s="212"/>
      <c r="Y23" s="225"/>
      <c r="Z23" s="221"/>
      <c r="AA23" s="221"/>
      <c r="AB23" s="226"/>
      <c r="AC23" s="226"/>
      <c r="AD23" s="226"/>
      <c r="AE23" s="226"/>
      <c r="AF23" s="226"/>
      <c r="AG23" s="226"/>
      <c r="AH23" s="227"/>
      <c r="AI23" s="227"/>
      <c r="AJ23" s="227"/>
      <c r="AK23" s="184"/>
      <c r="AL23" s="185"/>
      <c r="AM23" s="186"/>
      <c r="AN23" s="187"/>
      <c r="AO23" s="77"/>
      <c r="AP23" s="78"/>
      <c r="AQ23" s="78"/>
      <c r="AR23" s="151"/>
      <c r="AS23" s="78"/>
      <c r="AT23" s="188"/>
      <c r="AU23" s="188"/>
      <c r="AV23" s="188"/>
      <c r="AW23" s="188"/>
      <c r="AX23" s="151"/>
      <c r="AY23" s="78"/>
      <c r="AZ23" s="188"/>
      <c r="BA23" s="188"/>
      <c r="BB23" s="188"/>
      <c r="BC23" s="188"/>
      <c r="BD23" s="188"/>
      <c r="BE23" s="151"/>
      <c r="BF23" s="151"/>
      <c r="BG23" s="151"/>
      <c r="BH23" s="151"/>
      <c r="BI23" s="151"/>
      <c r="BJ23" s="151"/>
      <c r="BK23" s="151"/>
      <c r="BL23" s="151"/>
      <c r="BM23" s="151"/>
    </row>
    <row r="24" ht="78.0" customHeight="1">
      <c r="A24" s="143"/>
      <c r="B24" s="228">
        <v>22.0</v>
      </c>
      <c r="C24" s="211" t="s">
        <v>120</v>
      </c>
      <c r="D24" s="212" t="s">
        <v>196</v>
      </c>
      <c r="E24" s="213" t="s">
        <v>30</v>
      </c>
      <c r="F24" s="173">
        <f>IF(ISBLANK(E24),"",VLOOKUP(E24,R_Inf_Proy,2,0))</f>
        <v>2019011000276</v>
      </c>
      <c r="G24" s="173" t="str">
        <f>IF(ISBLANK(E24),"",VLOOKUP(E24,R_Inf_Proy,3,0))</f>
        <v>Inspección</v>
      </c>
      <c r="H24" s="214" t="s">
        <v>33</v>
      </c>
      <c r="I24" s="214" t="s">
        <v>35</v>
      </c>
      <c r="J24" s="214" t="s">
        <v>40</v>
      </c>
      <c r="K24" s="215" t="s">
        <v>51</v>
      </c>
      <c r="L24" s="216" t="s">
        <v>60</v>
      </c>
      <c r="M24" s="216" t="s">
        <v>61</v>
      </c>
      <c r="N24" s="217" t="s">
        <v>807</v>
      </c>
      <c r="O24" s="218"/>
      <c r="P24" s="219">
        <f t="shared" si="4"/>
        <v>10</v>
      </c>
      <c r="Q24" s="220" t="s">
        <v>808</v>
      </c>
      <c r="R24" s="221" t="s">
        <v>794</v>
      </c>
      <c r="S24" s="221"/>
      <c r="T24" s="222">
        <v>2.0</v>
      </c>
      <c r="U24" s="222">
        <v>3.0</v>
      </c>
      <c r="V24" s="222">
        <v>3.0</v>
      </c>
      <c r="W24" s="224">
        <v>2.0</v>
      </c>
      <c r="X24" s="212"/>
      <c r="Y24" s="225"/>
      <c r="Z24" s="221"/>
      <c r="AA24" s="221"/>
      <c r="AB24" s="226"/>
      <c r="AC24" s="226"/>
      <c r="AD24" s="226"/>
      <c r="AE24" s="226"/>
      <c r="AF24" s="226"/>
      <c r="AG24" s="226"/>
      <c r="AH24" s="227"/>
      <c r="AI24" s="227"/>
      <c r="AJ24" s="227"/>
      <c r="AK24" s="184"/>
      <c r="AL24" s="185"/>
      <c r="AM24" s="186"/>
      <c r="AN24" s="187"/>
      <c r="AO24" s="77"/>
      <c r="AP24" s="78"/>
      <c r="AQ24" s="78"/>
      <c r="AR24" s="151"/>
      <c r="AS24" s="78"/>
      <c r="AT24" s="188"/>
      <c r="AU24" s="188"/>
      <c r="AV24" s="188"/>
      <c r="AW24" s="188"/>
      <c r="AX24" s="151"/>
      <c r="AY24" s="78"/>
      <c r="AZ24" s="188"/>
      <c r="BA24" s="188"/>
      <c r="BB24" s="188"/>
      <c r="BC24" s="188"/>
      <c r="BD24" s="188"/>
      <c r="BE24" s="151"/>
      <c r="BF24" s="151"/>
      <c r="BG24" s="151"/>
      <c r="BH24" s="151"/>
      <c r="BI24" s="151"/>
      <c r="BJ24" s="151"/>
      <c r="BK24" s="151"/>
      <c r="BL24" s="151"/>
      <c r="BM24" s="151"/>
    </row>
    <row r="25" ht="82.5" customHeight="1">
      <c r="A25" s="143"/>
      <c r="B25" s="210">
        <v>23.0</v>
      </c>
      <c r="C25" s="211" t="s">
        <v>120</v>
      </c>
      <c r="D25" s="212" t="s">
        <v>196</v>
      </c>
      <c r="E25" s="213" t="s">
        <v>30</v>
      </c>
      <c r="F25" s="173">
        <f>IF(ISBLANK(E25),"",VLOOKUP(E25,R_Inf_Proy,2,0))</f>
        <v>2019011000276</v>
      </c>
      <c r="G25" s="173" t="str">
        <f>IF(ISBLANK(E25),"",VLOOKUP(E25,R_Inf_Proy,3,0))</f>
        <v>Inspección</v>
      </c>
      <c r="H25" s="214" t="s">
        <v>33</v>
      </c>
      <c r="I25" s="214" t="s">
        <v>35</v>
      </c>
      <c r="J25" s="214" t="s">
        <v>40</v>
      </c>
      <c r="K25" s="215" t="s">
        <v>51</v>
      </c>
      <c r="L25" s="216" t="s">
        <v>60</v>
      </c>
      <c r="M25" s="216" t="s">
        <v>61</v>
      </c>
      <c r="N25" s="217" t="s">
        <v>809</v>
      </c>
      <c r="O25" s="218"/>
      <c r="P25" s="219">
        <f t="shared" si="4"/>
        <v>80</v>
      </c>
      <c r="Q25" s="220" t="s">
        <v>810</v>
      </c>
      <c r="R25" s="221" t="s">
        <v>794</v>
      </c>
      <c r="S25" s="221"/>
      <c r="T25" s="222">
        <v>12.0</v>
      </c>
      <c r="U25" s="222">
        <v>25.0</v>
      </c>
      <c r="V25" s="222">
        <v>28.0</v>
      </c>
      <c r="W25" s="224">
        <v>15.0</v>
      </c>
      <c r="X25" s="212"/>
      <c r="Y25" s="225"/>
      <c r="Z25" s="221"/>
      <c r="AA25" s="221"/>
      <c r="AB25" s="226"/>
      <c r="AC25" s="226"/>
      <c r="AD25" s="226"/>
      <c r="AE25" s="226"/>
      <c r="AF25" s="226"/>
      <c r="AG25" s="226"/>
      <c r="AH25" s="227"/>
      <c r="AI25" s="227"/>
      <c r="AJ25" s="227"/>
      <c r="AK25" s="184"/>
      <c r="AL25" s="185"/>
      <c r="AM25" s="186"/>
      <c r="AN25" s="187"/>
      <c r="AO25" s="77"/>
      <c r="AP25" s="78"/>
      <c r="AQ25" s="78"/>
      <c r="AR25" s="151"/>
      <c r="AS25" s="78"/>
      <c r="AT25" s="188"/>
      <c r="AU25" s="188"/>
      <c r="AV25" s="188"/>
      <c r="AW25" s="188"/>
      <c r="AX25" s="151"/>
      <c r="AY25" s="78"/>
      <c r="AZ25" s="188"/>
      <c r="BA25" s="188"/>
      <c r="BB25" s="188"/>
      <c r="BC25" s="188"/>
      <c r="BD25" s="188"/>
      <c r="BE25" s="151"/>
      <c r="BF25" s="151"/>
      <c r="BG25" s="151"/>
      <c r="BH25" s="151"/>
      <c r="BI25" s="151"/>
      <c r="BJ25" s="151"/>
      <c r="BK25" s="151"/>
      <c r="BL25" s="151"/>
      <c r="BM25" s="151"/>
    </row>
    <row r="26" ht="109.5" customHeight="1">
      <c r="A26" s="143"/>
      <c r="B26" s="228">
        <v>24.0</v>
      </c>
      <c r="C26" s="211" t="s">
        <v>120</v>
      </c>
      <c r="D26" s="212" t="s">
        <v>196</v>
      </c>
      <c r="E26" s="213" t="s">
        <v>30</v>
      </c>
      <c r="F26" s="173">
        <f>IF(ISBLANK(E26),"",VLOOKUP(E26,R_Inf_Proy,2,0))</f>
        <v>2019011000276</v>
      </c>
      <c r="G26" s="173" t="str">
        <f>IF(ISBLANK(E26),"",VLOOKUP(E26,R_Inf_Proy,3,0))</f>
        <v>Inspección</v>
      </c>
      <c r="H26" s="214" t="s">
        <v>33</v>
      </c>
      <c r="I26" s="214" t="s">
        <v>35</v>
      </c>
      <c r="J26" s="214" t="s">
        <v>40</v>
      </c>
      <c r="K26" s="215" t="s">
        <v>51</v>
      </c>
      <c r="L26" s="216" t="s">
        <v>60</v>
      </c>
      <c r="M26" s="216" t="s">
        <v>61</v>
      </c>
      <c r="N26" s="217" t="s">
        <v>811</v>
      </c>
      <c r="O26" s="218"/>
      <c r="P26" s="219">
        <f t="shared" si="4"/>
        <v>485</v>
      </c>
      <c r="Q26" s="220" t="s">
        <v>812</v>
      </c>
      <c r="R26" s="221" t="s">
        <v>794</v>
      </c>
      <c r="S26" s="221"/>
      <c r="T26" s="222">
        <v>70.0</v>
      </c>
      <c r="U26" s="222">
        <v>165.0</v>
      </c>
      <c r="V26" s="222">
        <v>160.0</v>
      </c>
      <c r="W26" s="224">
        <v>90.0</v>
      </c>
      <c r="X26" s="212"/>
      <c r="Y26" s="225"/>
      <c r="Z26" s="221"/>
      <c r="AA26" s="221"/>
      <c r="AB26" s="226"/>
      <c r="AC26" s="226"/>
      <c r="AD26" s="226"/>
      <c r="AE26" s="226"/>
      <c r="AF26" s="226"/>
      <c r="AG26" s="226"/>
      <c r="AH26" s="227"/>
      <c r="AI26" s="227"/>
      <c r="AJ26" s="227"/>
      <c r="AK26" s="184"/>
      <c r="AL26" s="185"/>
      <c r="AM26" s="186" t="str">
        <f t="shared" ref="AM26:AM27" si="5">IF(K28="PRODUCTO",VLOOKUP(I28,#REF!,6,0),IF(K28="GESTIÓN",VLOOKUP(E28,#REF!,14,0),""))</f>
        <v/>
      </c>
      <c r="AN26" s="187"/>
      <c r="AO26" s="77" t="str">
        <f t="array" ref="AO26:AQ26">INDEX(R_Proy__ObjEsp,MATCH(E28,L_Proy,0))</f>
        <v>Fortalecer los mecanismos de seguimiento y control de la actividad pesquera y de la acuicultura.</v>
      </c>
      <c r="AP26" s="78" t="s">
        <v>34</v>
      </c>
      <c r="AQ26" s="78"/>
      <c r="AR26" s="151"/>
      <c r="AS26" s="78" t="str">
        <f t="array" ref="AS26:AV26">INDEX(R_ObjEsp__Prod,MATCH(H28,L_ObjEsp,0))</f>
        <v>Servicio de divulgación y socialización</v>
      </c>
      <c r="AT26" s="188"/>
      <c r="AU26" s="188"/>
      <c r="AV26" s="188"/>
      <c r="AW26" s="188"/>
      <c r="AX26" s="151"/>
      <c r="AY26" s="78" t="str">
        <f t="array" ref="AY26:BD26">INDEX(R_Pro__Act,MATCH(I28,L_Prod,0))</f>
        <v>Implementar las estrategias de socialización y Divulgación a la comunidad</v>
      </c>
      <c r="AZ26" s="188" t="s">
        <v>71</v>
      </c>
      <c r="BA26" s="188" t="s">
        <v>72</v>
      </c>
      <c r="BB26" s="188"/>
      <c r="BC26" s="188"/>
      <c r="BD26" s="188"/>
      <c r="BE26" s="151"/>
      <c r="BF26" s="151"/>
      <c r="BG26" s="151"/>
      <c r="BH26" s="151"/>
      <c r="BI26" s="151"/>
      <c r="BJ26" s="151"/>
      <c r="BK26" s="151"/>
      <c r="BL26" s="151"/>
      <c r="BM26" s="151"/>
    </row>
    <row r="27" ht="84.0" customHeight="1">
      <c r="A27" s="143"/>
      <c r="B27" s="210">
        <v>25.0</v>
      </c>
      <c r="C27" s="211" t="s">
        <v>120</v>
      </c>
      <c r="D27" s="212" t="s">
        <v>196</v>
      </c>
      <c r="E27" s="213" t="s">
        <v>30</v>
      </c>
      <c r="F27" s="173">
        <f>IF(ISBLANK(E27),"",VLOOKUP(E27,R_Inf_Proy,2,0))</f>
        <v>2019011000276</v>
      </c>
      <c r="G27" s="173" t="str">
        <f>IF(ISBLANK(E27),"",VLOOKUP(E27,R_Inf_Proy,3,0))</f>
        <v>Inspección</v>
      </c>
      <c r="H27" s="214" t="s">
        <v>33</v>
      </c>
      <c r="I27" s="214" t="s">
        <v>35</v>
      </c>
      <c r="J27" s="214" t="s">
        <v>40</v>
      </c>
      <c r="K27" s="215" t="s">
        <v>51</v>
      </c>
      <c r="L27" s="216" t="s">
        <v>60</v>
      </c>
      <c r="M27" s="216" t="s">
        <v>61</v>
      </c>
      <c r="N27" s="217" t="s">
        <v>813</v>
      </c>
      <c r="O27" s="218"/>
      <c r="P27" s="219">
        <f t="shared" si="4"/>
        <v>44</v>
      </c>
      <c r="Q27" s="220" t="s">
        <v>814</v>
      </c>
      <c r="R27" s="221" t="s">
        <v>794</v>
      </c>
      <c r="S27" s="221"/>
      <c r="T27" s="222">
        <v>4.0</v>
      </c>
      <c r="U27" s="222">
        <v>16.0</v>
      </c>
      <c r="V27" s="222">
        <v>17.0</v>
      </c>
      <c r="W27" s="224">
        <v>7.0</v>
      </c>
      <c r="X27" s="212"/>
      <c r="Y27" s="225"/>
      <c r="Z27" s="221"/>
      <c r="AA27" s="221"/>
      <c r="AB27" s="226"/>
      <c r="AC27" s="226"/>
      <c r="AD27" s="226"/>
      <c r="AE27" s="226"/>
      <c r="AF27" s="226"/>
      <c r="AG27" s="226"/>
      <c r="AH27" s="227"/>
      <c r="AI27" s="227"/>
      <c r="AJ27" s="227"/>
      <c r="AK27" s="184"/>
      <c r="AL27" s="185"/>
      <c r="AM27" s="186" t="str">
        <f t="shared" si="5"/>
        <v/>
      </c>
      <c r="AN27" s="187"/>
      <c r="AO27" s="77" t="str">
        <f t="array" ref="AO27:AQ27">INDEX(R_Proy__ObjEsp,MATCH(E29,L_Proy,0))</f>
        <v>Fortalecer los mecanismos de seguimiento y control de la actividad pesquera y de la acuicultura.</v>
      </c>
      <c r="AP27" s="78" t="s">
        <v>34</v>
      </c>
      <c r="AQ27" s="78"/>
      <c r="AR27" s="151"/>
      <c r="AS27" s="78" t="str">
        <f t="array" ref="AS27:AV27">INDEX(R_ObjEsp__Prod,MATCH(H29,L_ObjEsp,0))</f>
        <v>Servicio de divulgación y socialización</v>
      </c>
      <c r="AT27" s="188"/>
      <c r="AU27" s="188"/>
      <c r="AV27" s="188"/>
      <c r="AW27" s="188"/>
      <c r="AX27" s="151"/>
      <c r="AY27" s="78" t="str">
        <f t="array" ref="AY27:BD27">INDEX(R_Pro__Act,MATCH(I29,L_Prod,0))</f>
        <v>Implementar las estrategias de socialización y Divulgación a la comunidad</v>
      </c>
      <c r="AZ27" s="188" t="s">
        <v>71</v>
      </c>
      <c r="BA27" s="188" t="s">
        <v>72</v>
      </c>
      <c r="BB27" s="188"/>
      <c r="BC27" s="188"/>
      <c r="BD27" s="188"/>
      <c r="BE27" s="151"/>
      <c r="BF27" s="151"/>
      <c r="BG27" s="151"/>
      <c r="BH27" s="151"/>
      <c r="BI27" s="151"/>
      <c r="BJ27" s="151"/>
      <c r="BK27" s="151"/>
      <c r="BL27" s="151"/>
      <c r="BM27" s="151"/>
    </row>
    <row r="28" ht="90.0" customHeight="1">
      <c r="A28" s="143"/>
      <c r="B28" s="228">
        <v>26.0</v>
      </c>
      <c r="C28" s="211" t="s">
        <v>120</v>
      </c>
      <c r="D28" s="212" t="s">
        <v>196</v>
      </c>
      <c r="E28" s="213" t="s">
        <v>30</v>
      </c>
      <c r="F28" s="173">
        <f>IF(ISBLANK(E28),"",VLOOKUP(E28,R_Inf_Proy,2,0))</f>
        <v>2019011000276</v>
      </c>
      <c r="G28" s="173" t="str">
        <f>IF(ISBLANK(E28),"",VLOOKUP(E28,R_Inf_Proy,3,0))</f>
        <v>Inspección</v>
      </c>
      <c r="H28" s="214" t="s">
        <v>34</v>
      </c>
      <c r="I28" s="214" t="s">
        <v>69</v>
      </c>
      <c r="J28" s="214" t="s">
        <v>70</v>
      </c>
      <c r="K28" s="215" t="s">
        <v>112</v>
      </c>
      <c r="L28" s="216" t="s">
        <v>60</v>
      </c>
      <c r="M28" s="216" t="s">
        <v>61</v>
      </c>
      <c r="N28" s="229" t="s">
        <v>815</v>
      </c>
      <c r="O28" s="218"/>
      <c r="P28" s="219">
        <f t="shared" si="4"/>
        <v>42</v>
      </c>
      <c r="Q28" s="213" t="s">
        <v>816</v>
      </c>
      <c r="R28" s="221" t="s">
        <v>794</v>
      </c>
      <c r="S28" s="221" t="s">
        <v>137</v>
      </c>
      <c r="T28" s="222">
        <v>5.0</v>
      </c>
      <c r="U28" s="222">
        <v>13.0</v>
      </c>
      <c r="V28" s="222">
        <v>15.0</v>
      </c>
      <c r="W28" s="224">
        <v>9.0</v>
      </c>
      <c r="X28" s="212" t="s">
        <v>196</v>
      </c>
      <c r="Y28" s="225" t="s">
        <v>754</v>
      </c>
      <c r="Z28" s="221" t="s">
        <v>755</v>
      </c>
      <c r="AA28" s="221" t="s">
        <v>756</v>
      </c>
      <c r="AB28" s="226" t="s">
        <v>464</v>
      </c>
      <c r="AC28" s="226" t="s">
        <v>302</v>
      </c>
      <c r="AD28" s="226" t="s">
        <v>114</v>
      </c>
      <c r="AE28" s="226" t="s">
        <v>115</v>
      </c>
      <c r="AF28" s="226" t="s">
        <v>116</v>
      </c>
      <c r="AG28" s="226" t="s">
        <v>282</v>
      </c>
      <c r="AH28" s="227"/>
      <c r="AI28" s="227"/>
      <c r="AJ28" s="227"/>
      <c r="AK28" s="184"/>
      <c r="AL28" s="185"/>
      <c r="AM28" s="186" t="str">
        <f t="shared" ref="AM28:AM29" si="6">IF(#REF!="PRODUCTO",VLOOKUP(#REF!,#REF!,6,0),IF(#REF!="GESTIÓN",VLOOKUP(#REF!,#REF!,14,0),""))</f>
        <v>#REF!</v>
      </c>
      <c r="AN28" s="187"/>
      <c r="AO28" s="77" t="str">
        <f t="array" ref="AO28">INDEX(R_Proy__ObjEsp,MATCH(#REF!,L_Proy,0))</f>
        <v>#REF!</v>
      </c>
      <c r="AP28" s="78"/>
      <c r="AQ28" s="78"/>
      <c r="AR28" s="151"/>
      <c r="AS28" s="78" t="str">
        <f t="array" ref="AS28">INDEX(R_ObjEsp__Prod,MATCH(#REF!,L_ObjEsp,0))</f>
        <v>#REF!</v>
      </c>
      <c r="AT28" s="188"/>
      <c r="AU28" s="188"/>
      <c r="AV28" s="188"/>
      <c r="AW28" s="188"/>
      <c r="AX28" s="151"/>
      <c r="AY28" s="78" t="str">
        <f t="array" ref="AY28">INDEX(R_Pro__Act,MATCH(#REF!,L_Prod,0))</f>
        <v>#REF!</v>
      </c>
      <c r="AZ28" s="188"/>
      <c r="BA28" s="188"/>
      <c r="BB28" s="188"/>
      <c r="BC28" s="188"/>
      <c r="BD28" s="188"/>
      <c r="BE28" s="151"/>
      <c r="BF28" s="151"/>
      <c r="BG28" s="151"/>
      <c r="BH28" s="151"/>
      <c r="BI28" s="151"/>
      <c r="BJ28" s="151"/>
      <c r="BK28" s="151"/>
      <c r="BL28" s="151"/>
      <c r="BM28" s="151"/>
    </row>
    <row r="29" ht="91.5" customHeight="1">
      <c r="A29" s="143"/>
      <c r="B29" s="210">
        <v>27.0</v>
      </c>
      <c r="C29" s="211" t="s">
        <v>120</v>
      </c>
      <c r="D29" s="212" t="s">
        <v>196</v>
      </c>
      <c r="E29" s="213" t="s">
        <v>30</v>
      </c>
      <c r="F29" s="173">
        <f>IF(ISBLANK(E29),"",VLOOKUP(E29,R_Inf_Proy,2,0))</f>
        <v>2019011000276</v>
      </c>
      <c r="G29" s="173" t="str">
        <f>IF(ISBLANK(E29),"",VLOOKUP(E29,R_Inf_Proy,3,0))</f>
        <v>Inspección</v>
      </c>
      <c r="H29" s="214" t="s">
        <v>34</v>
      </c>
      <c r="I29" s="214" t="s">
        <v>69</v>
      </c>
      <c r="J29" s="214" t="s">
        <v>70</v>
      </c>
      <c r="K29" s="215" t="s">
        <v>112</v>
      </c>
      <c r="L29" s="216" t="s">
        <v>60</v>
      </c>
      <c r="M29" s="216" t="s">
        <v>61</v>
      </c>
      <c r="N29" s="229" t="s">
        <v>817</v>
      </c>
      <c r="O29" s="218"/>
      <c r="P29" s="219">
        <f t="shared" si="4"/>
        <v>42</v>
      </c>
      <c r="Q29" s="213" t="s">
        <v>818</v>
      </c>
      <c r="R29" s="221" t="s">
        <v>794</v>
      </c>
      <c r="S29" s="221" t="s">
        <v>137</v>
      </c>
      <c r="T29" s="222">
        <v>9.0</v>
      </c>
      <c r="U29" s="222">
        <v>15.0</v>
      </c>
      <c r="V29" s="222">
        <v>12.0</v>
      </c>
      <c r="W29" s="224">
        <v>6.0</v>
      </c>
      <c r="X29" s="212" t="s">
        <v>196</v>
      </c>
      <c r="Y29" s="225" t="s">
        <v>754</v>
      </c>
      <c r="Z29" s="221" t="s">
        <v>755</v>
      </c>
      <c r="AA29" s="221" t="s">
        <v>756</v>
      </c>
      <c r="AB29" s="226" t="s">
        <v>464</v>
      </c>
      <c r="AC29" s="226" t="s">
        <v>302</v>
      </c>
      <c r="AD29" s="226" t="s">
        <v>114</v>
      </c>
      <c r="AE29" s="226" t="s">
        <v>115</v>
      </c>
      <c r="AF29" s="226" t="s">
        <v>116</v>
      </c>
      <c r="AG29" s="226" t="s">
        <v>282</v>
      </c>
      <c r="AH29" s="227"/>
      <c r="AI29" s="227"/>
      <c r="AJ29" s="227"/>
      <c r="AK29" s="184"/>
      <c r="AL29" s="185"/>
      <c r="AM29" s="186" t="str">
        <f t="shared" si="6"/>
        <v>#REF!</v>
      </c>
      <c r="AN29" s="187"/>
      <c r="AO29" s="77" t="str">
        <f t="array" ref="AO29">INDEX(R_Proy__ObjEsp,MATCH(#REF!,L_Proy,0))</f>
        <v>#REF!</v>
      </c>
      <c r="AP29" s="78"/>
      <c r="AQ29" s="78"/>
      <c r="AR29" s="151"/>
      <c r="AS29" s="78" t="str">
        <f t="array" ref="AS29">INDEX(R_ObjEsp__Prod,MATCH(#REF!,L_ObjEsp,0))</f>
        <v>#REF!</v>
      </c>
      <c r="AT29" s="188"/>
      <c r="AU29" s="188"/>
      <c r="AV29" s="188"/>
      <c r="AW29" s="188"/>
      <c r="AX29" s="151"/>
      <c r="AY29" s="78" t="str">
        <f t="array" ref="AY29">INDEX(R_Pro__Act,MATCH(#REF!,L_Prod,0))</f>
        <v>#REF!</v>
      </c>
      <c r="AZ29" s="188"/>
      <c r="BA29" s="188"/>
      <c r="BB29" s="188"/>
      <c r="BC29" s="188"/>
      <c r="BD29" s="188"/>
      <c r="BE29" s="151"/>
      <c r="BF29" s="151"/>
      <c r="BG29" s="151"/>
      <c r="BH29" s="151"/>
      <c r="BI29" s="151"/>
      <c r="BJ29" s="151"/>
      <c r="BK29" s="151"/>
      <c r="BL29" s="151"/>
      <c r="BM29" s="151"/>
    </row>
    <row r="30" ht="67.5" customHeight="1">
      <c r="A30" s="143"/>
      <c r="B30" s="169">
        <v>52.0</v>
      </c>
      <c r="C30" s="230"/>
      <c r="D30" s="171"/>
      <c r="E30" s="172"/>
      <c r="F30" s="173" t="str">
        <f>IF(ISBLANK(E30),"",VLOOKUP(E30,R_Inf_Proy,2,0))</f>
        <v/>
      </c>
      <c r="G30" s="173" t="str">
        <f>IF(ISBLANK(E30),"",VLOOKUP(E30,R_Inf_Proy,3,0))</f>
        <v/>
      </c>
      <c r="H30" s="231"/>
      <c r="I30" s="231"/>
      <c r="J30" s="231"/>
      <c r="K30" s="175"/>
      <c r="L30" s="232"/>
      <c r="M30" s="232"/>
      <c r="N30" s="233"/>
      <c r="O30" s="191"/>
      <c r="P30" s="234"/>
      <c r="Q30" s="235"/>
      <c r="R30" s="236"/>
      <c r="S30" s="236"/>
      <c r="T30" s="234"/>
      <c r="U30" s="234"/>
      <c r="V30" s="234"/>
      <c r="W30" s="234"/>
      <c r="X30" s="237"/>
      <c r="Y30" s="238"/>
      <c r="Z30" s="236"/>
      <c r="AA30" s="236"/>
      <c r="AB30" s="183"/>
      <c r="AC30" s="183"/>
      <c r="AD30" s="183"/>
      <c r="AE30" s="183"/>
      <c r="AF30" s="183"/>
      <c r="AG30" s="183"/>
      <c r="AH30" s="183"/>
      <c r="AI30" s="183"/>
      <c r="AJ30" s="183"/>
      <c r="AK30" s="184"/>
      <c r="AL30" s="185"/>
      <c r="AM30" s="186" t="str">
        <f t="shared" ref="AM30:AM77" si="7">IF(K30="PRODUCTO",VLOOKUP(I30,#REF!,6,0),IF(K30="GESTIÓN",VLOOKUP(E30,#REF!,14,0),""))</f>
        <v/>
      </c>
      <c r="AN30" s="187"/>
      <c r="AO30" s="77" t="str">
        <f t="array" ref="AO30">INDEX(R_Proy__ObjEsp,MATCH(E30,L_Proy,0))</f>
        <v>#N/A</v>
      </c>
      <c r="AP30" s="78"/>
      <c r="AQ30" s="78"/>
      <c r="AR30" s="151"/>
      <c r="AS30" s="78" t="str">
        <f t="array" ref="AS30">INDEX(R_ObjEsp__Prod,MATCH(H30,L_ObjEsp,0))</f>
        <v>#N/A</v>
      </c>
      <c r="AT30" s="188"/>
      <c r="AU30" s="188"/>
      <c r="AV30" s="188"/>
      <c r="AW30" s="188"/>
      <c r="AX30" s="151"/>
      <c r="AY30" s="78" t="str">
        <f t="array" ref="AY30">INDEX(R_Pro__Act,MATCH(I30,L_Prod,0))</f>
        <v>#N/A</v>
      </c>
      <c r="AZ30" s="188"/>
      <c r="BA30" s="188"/>
      <c r="BB30" s="188"/>
      <c r="BC30" s="188"/>
      <c r="BD30" s="188"/>
      <c r="BE30" s="151"/>
      <c r="BF30" s="151"/>
      <c r="BG30" s="151"/>
      <c r="BH30" s="151"/>
      <c r="BI30" s="151"/>
      <c r="BJ30" s="151"/>
      <c r="BK30" s="151"/>
      <c r="BL30" s="151"/>
      <c r="BM30" s="151"/>
    </row>
    <row r="31" ht="67.5" customHeight="1">
      <c r="A31" s="143"/>
      <c r="B31" s="169">
        <v>53.0</v>
      </c>
      <c r="C31" s="230"/>
      <c r="D31" s="171"/>
      <c r="E31" s="172"/>
      <c r="F31" s="173" t="str">
        <f>IF(ISBLANK(E31),"",VLOOKUP(E31,R_Inf_Proy,2,0))</f>
        <v/>
      </c>
      <c r="G31" s="173" t="str">
        <f>IF(ISBLANK(E31),"",VLOOKUP(E31,R_Inf_Proy,3,0))</f>
        <v/>
      </c>
      <c r="H31" s="231"/>
      <c r="I31" s="231"/>
      <c r="J31" s="231"/>
      <c r="K31" s="175"/>
      <c r="L31" s="232"/>
      <c r="M31" s="232"/>
      <c r="N31" s="233"/>
      <c r="O31" s="191"/>
      <c r="P31" s="234"/>
      <c r="Q31" s="235"/>
      <c r="R31" s="236"/>
      <c r="S31" s="236"/>
      <c r="T31" s="234"/>
      <c r="U31" s="234"/>
      <c r="V31" s="234"/>
      <c r="W31" s="234"/>
      <c r="X31" s="237"/>
      <c r="Y31" s="238"/>
      <c r="Z31" s="236"/>
      <c r="AA31" s="236"/>
      <c r="AB31" s="183"/>
      <c r="AC31" s="183"/>
      <c r="AD31" s="183"/>
      <c r="AE31" s="183"/>
      <c r="AF31" s="183"/>
      <c r="AG31" s="183"/>
      <c r="AH31" s="183"/>
      <c r="AI31" s="183"/>
      <c r="AJ31" s="183"/>
      <c r="AK31" s="184"/>
      <c r="AL31" s="185"/>
      <c r="AM31" s="186" t="str">
        <f t="shared" si="7"/>
        <v/>
      </c>
      <c r="AN31" s="187"/>
      <c r="AO31" s="77" t="str">
        <f t="array" ref="AO31">INDEX(R_Proy__ObjEsp,MATCH(E31,L_Proy,0))</f>
        <v>#N/A</v>
      </c>
      <c r="AP31" s="78"/>
      <c r="AQ31" s="78"/>
      <c r="AR31" s="151"/>
      <c r="AS31" s="78" t="str">
        <f t="array" ref="AS31">INDEX(R_ObjEsp__Prod,MATCH(H31,L_ObjEsp,0))</f>
        <v>#N/A</v>
      </c>
      <c r="AT31" s="188"/>
      <c r="AU31" s="188"/>
      <c r="AV31" s="188"/>
      <c r="AW31" s="188"/>
      <c r="AX31" s="151"/>
      <c r="AY31" s="78" t="str">
        <f t="array" ref="AY31">INDEX(R_Pro__Act,MATCH(I31,L_Prod,0))</f>
        <v>#N/A</v>
      </c>
      <c r="AZ31" s="188"/>
      <c r="BA31" s="188"/>
      <c r="BB31" s="188"/>
      <c r="BC31" s="188"/>
      <c r="BD31" s="188"/>
      <c r="BE31" s="151"/>
      <c r="BF31" s="151"/>
      <c r="BG31" s="151"/>
      <c r="BH31" s="151"/>
      <c r="BI31" s="151"/>
      <c r="BJ31" s="151"/>
      <c r="BK31" s="151"/>
      <c r="BL31" s="151"/>
      <c r="BM31" s="151"/>
    </row>
    <row r="32" ht="67.5" customHeight="1">
      <c r="A32" s="143"/>
      <c r="B32" s="169">
        <v>54.0</v>
      </c>
      <c r="C32" s="230"/>
      <c r="D32" s="171"/>
      <c r="E32" s="172"/>
      <c r="F32" s="173" t="str">
        <f>IF(ISBLANK(E32),"",VLOOKUP(E32,R_Inf_Proy,2,0))</f>
        <v/>
      </c>
      <c r="G32" s="173" t="str">
        <f>IF(ISBLANK(E32),"",VLOOKUP(E32,R_Inf_Proy,3,0))</f>
        <v/>
      </c>
      <c r="H32" s="231"/>
      <c r="I32" s="231"/>
      <c r="J32" s="231"/>
      <c r="K32" s="175"/>
      <c r="L32" s="232"/>
      <c r="M32" s="232"/>
      <c r="N32" s="233"/>
      <c r="O32" s="191"/>
      <c r="P32" s="234"/>
      <c r="Q32" s="235"/>
      <c r="R32" s="236"/>
      <c r="S32" s="236"/>
      <c r="T32" s="234"/>
      <c r="U32" s="234"/>
      <c r="V32" s="234"/>
      <c r="W32" s="234"/>
      <c r="X32" s="237"/>
      <c r="Y32" s="238"/>
      <c r="Z32" s="236"/>
      <c r="AA32" s="236"/>
      <c r="AB32" s="183"/>
      <c r="AC32" s="183"/>
      <c r="AD32" s="183"/>
      <c r="AE32" s="183"/>
      <c r="AF32" s="183"/>
      <c r="AG32" s="183"/>
      <c r="AH32" s="183"/>
      <c r="AI32" s="183"/>
      <c r="AJ32" s="183"/>
      <c r="AK32" s="184"/>
      <c r="AL32" s="185"/>
      <c r="AM32" s="186" t="str">
        <f t="shared" si="7"/>
        <v/>
      </c>
      <c r="AN32" s="187"/>
      <c r="AO32" s="77" t="str">
        <f t="array" ref="AO32">INDEX(R_Proy__ObjEsp,MATCH(E32,L_Proy,0))</f>
        <v>#N/A</v>
      </c>
      <c r="AP32" s="78"/>
      <c r="AQ32" s="78"/>
      <c r="AR32" s="151"/>
      <c r="AS32" s="78" t="str">
        <f t="array" ref="AS32">INDEX(R_ObjEsp__Prod,MATCH(H32,L_ObjEsp,0))</f>
        <v>#N/A</v>
      </c>
      <c r="AT32" s="188"/>
      <c r="AU32" s="188"/>
      <c r="AV32" s="188"/>
      <c r="AW32" s="188"/>
      <c r="AX32" s="151"/>
      <c r="AY32" s="78" t="str">
        <f t="array" ref="AY32">INDEX(R_Pro__Act,MATCH(I32,L_Prod,0))</f>
        <v>#N/A</v>
      </c>
      <c r="AZ32" s="188"/>
      <c r="BA32" s="188"/>
      <c r="BB32" s="188"/>
      <c r="BC32" s="188"/>
      <c r="BD32" s="188"/>
      <c r="BE32" s="151"/>
      <c r="BF32" s="151"/>
      <c r="BG32" s="151"/>
      <c r="BH32" s="151"/>
      <c r="BI32" s="151"/>
      <c r="BJ32" s="151"/>
      <c r="BK32" s="151"/>
      <c r="BL32" s="151"/>
      <c r="BM32" s="151"/>
    </row>
    <row r="33" ht="67.5" customHeight="1">
      <c r="A33" s="143"/>
      <c r="B33" s="169">
        <v>55.0</v>
      </c>
      <c r="C33" s="230"/>
      <c r="D33" s="171"/>
      <c r="E33" s="172"/>
      <c r="F33" s="173" t="str">
        <f>IF(ISBLANK(E33),"",VLOOKUP(E33,R_Inf_Proy,2,0))</f>
        <v/>
      </c>
      <c r="G33" s="173" t="str">
        <f>IF(ISBLANK(E33),"",VLOOKUP(E33,R_Inf_Proy,3,0))</f>
        <v/>
      </c>
      <c r="H33" s="231"/>
      <c r="I33" s="231"/>
      <c r="J33" s="231"/>
      <c r="K33" s="175"/>
      <c r="L33" s="232"/>
      <c r="M33" s="232"/>
      <c r="N33" s="233"/>
      <c r="O33" s="191"/>
      <c r="P33" s="234"/>
      <c r="Q33" s="235"/>
      <c r="R33" s="236"/>
      <c r="S33" s="236"/>
      <c r="T33" s="234"/>
      <c r="U33" s="234"/>
      <c r="V33" s="234"/>
      <c r="W33" s="234"/>
      <c r="X33" s="237"/>
      <c r="Y33" s="238"/>
      <c r="Z33" s="236"/>
      <c r="AA33" s="236"/>
      <c r="AB33" s="183"/>
      <c r="AC33" s="183"/>
      <c r="AD33" s="183"/>
      <c r="AE33" s="183"/>
      <c r="AF33" s="183"/>
      <c r="AG33" s="183"/>
      <c r="AH33" s="183"/>
      <c r="AI33" s="183"/>
      <c r="AJ33" s="183"/>
      <c r="AK33" s="184"/>
      <c r="AL33" s="185"/>
      <c r="AM33" s="186" t="str">
        <f t="shared" si="7"/>
        <v/>
      </c>
      <c r="AN33" s="187"/>
      <c r="AO33" s="77" t="str">
        <f t="array" ref="AO33">INDEX(R_Proy__ObjEsp,MATCH(E33,L_Proy,0))</f>
        <v>#N/A</v>
      </c>
      <c r="AP33" s="78"/>
      <c r="AQ33" s="78"/>
      <c r="AR33" s="151"/>
      <c r="AS33" s="78" t="str">
        <f t="array" ref="AS33">INDEX(R_ObjEsp__Prod,MATCH(H33,L_ObjEsp,0))</f>
        <v>#N/A</v>
      </c>
      <c r="AT33" s="188"/>
      <c r="AU33" s="188"/>
      <c r="AV33" s="188"/>
      <c r="AW33" s="188"/>
      <c r="AX33" s="151"/>
      <c r="AY33" s="78" t="str">
        <f t="array" ref="AY33">INDEX(R_Pro__Act,MATCH(I33,L_Prod,0))</f>
        <v>#N/A</v>
      </c>
      <c r="AZ33" s="188"/>
      <c r="BA33" s="188"/>
      <c r="BB33" s="188"/>
      <c r="BC33" s="188"/>
      <c r="BD33" s="188"/>
      <c r="BE33" s="151"/>
      <c r="BF33" s="151"/>
      <c r="BG33" s="151"/>
      <c r="BH33" s="151"/>
      <c r="BI33" s="151"/>
      <c r="BJ33" s="151"/>
      <c r="BK33" s="151"/>
      <c r="BL33" s="151"/>
      <c r="BM33" s="151"/>
    </row>
    <row r="34" ht="67.5" customHeight="1">
      <c r="A34" s="143"/>
      <c r="B34" s="169">
        <v>56.0</v>
      </c>
      <c r="C34" s="230"/>
      <c r="D34" s="171"/>
      <c r="E34" s="172"/>
      <c r="F34" s="173" t="str">
        <f>IF(ISBLANK(E34),"",VLOOKUP(E34,R_Inf_Proy,2,0))</f>
        <v/>
      </c>
      <c r="G34" s="173" t="str">
        <f>IF(ISBLANK(E34),"",VLOOKUP(E34,R_Inf_Proy,3,0))</f>
        <v/>
      </c>
      <c r="H34" s="231"/>
      <c r="I34" s="231"/>
      <c r="J34" s="231"/>
      <c r="K34" s="175"/>
      <c r="L34" s="232"/>
      <c r="M34" s="232"/>
      <c r="N34" s="233"/>
      <c r="O34" s="191"/>
      <c r="P34" s="234"/>
      <c r="Q34" s="235"/>
      <c r="R34" s="236"/>
      <c r="S34" s="236"/>
      <c r="T34" s="234"/>
      <c r="U34" s="234"/>
      <c r="V34" s="234"/>
      <c r="W34" s="234"/>
      <c r="X34" s="237"/>
      <c r="Y34" s="238"/>
      <c r="Z34" s="236"/>
      <c r="AA34" s="236"/>
      <c r="AB34" s="183"/>
      <c r="AC34" s="183"/>
      <c r="AD34" s="183"/>
      <c r="AE34" s="183"/>
      <c r="AF34" s="183"/>
      <c r="AG34" s="183"/>
      <c r="AH34" s="183"/>
      <c r="AI34" s="183"/>
      <c r="AJ34" s="183"/>
      <c r="AK34" s="184"/>
      <c r="AL34" s="185"/>
      <c r="AM34" s="186" t="str">
        <f t="shared" si="7"/>
        <v/>
      </c>
      <c r="AN34" s="187"/>
      <c r="AO34" s="77" t="str">
        <f t="array" ref="AO34">INDEX(R_Proy__ObjEsp,MATCH(E34,L_Proy,0))</f>
        <v>#N/A</v>
      </c>
      <c r="AP34" s="78"/>
      <c r="AQ34" s="78"/>
      <c r="AR34" s="151"/>
      <c r="AS34" s="78" t="str">
        <f t="array" ref="AS34">INDEX(R_ObjEsp__Prod,MATCH(H34,L_ObjEsp,0))</f>
        <v>#N/A</v>
      </c>
      <c r="AT34" s="188"/>
      <c r="AU34" s="188"/>
      <c r="AV34" s="188"/>
      <c r="AW34" s="188"/>
      <c r="AX34" s="151"/>
      <c r="AY34" s="78" t="str">
        <f t="array" ref="AY34">INDEX(R_Pro__Act,MATCH(I34,L_Prod,0))</f>
        <v>#N/A</v>
      </c>
      <c r="AZ34" s="188"/>
      <c r="BA34" s="188"/>
      <c r="BB34" s="188"/>
      <c r="BC34" s="188"/>
      <c r="BD34" s="188"/>
      <c r="BE34" s="151"/>
      <c r="BF34" s="151"/>
      <c r="BG34" s="151"/>
      <c r="BH34" s="151"/>
      <c r="BI34" s="151"/>
      <c r="BJ34" s="151"/>
      <c r="BK34" s="151"/>
      <c r="BL34" s="151"/>
      <c r="BM34" s="151"/>
    </row>
    <row r="35" ht="67.5" customHeight="1">
      <c r="A35" s="143"/>
      <c r="B35" s="169">
        <v>57.0</v>
      </c>
      <c r="C35" s="230"/>
      <c r="D35" s="171"/>
      <c r="E35" s="172"/>
      <c r="F35" s="173" t="str">
        <f>IF(ISBLANK(E35),"",VLOOKUP(E35,R_Inf_Proy,2,0))</f>
        <v/>
      </c>
      <c r="G35" s="173" t="str">
        <f>IF(ISBLANK(E35),"",VLOOKUP(E35,R_Inf_Proy,3,0))</f>
        <v/>
      </c>
      <c r="H35" s="231"/>
      <c r="I35" s="231"/>
      <c r="J35" s="231"/>
      <c r="K35" s="175"/>
      <c r="L35" s="232"/>
      <c r="M35" s="232"/>
      <c r="N35" s="233"/>
      <c r="O35" s="191"/>
      <c r="P35" s="234"/>
      <c r="Q35" s="235"/>
      <c r="R35" s="236"/>
      <c r="S35" s="236"/>
      <c r="T35" s="234"/>
      <c r="U35" s="234"/>
      <c r="V35" s="234"/>
      <c r="W35" s="234"/>
      <c r="X35" s="237"/>
      <c r="Y35" s="238"/>
      <c r="Z35" s="236"/>
      <c r="AA35" s="236"/>
      <c r="AB35" s="183"/>
      <c r="AC35" s="183"/>
      <c r="AD35" s="183"/>
      <c r="AE35" s="183"/>
      <c r="AF35" s="183"/>
      <c r="AG35" s="183"/>
      <c r="AH35" s="183"/>
      <c r="AI35" s="183"/>
      <c r="AJ35" s="183"/>
      <c r="AK35" s="184"/>
      <c r="AL35" s="185"/>
      <c r="AM35" s="186" t="str">
        <f t="shared" si="7"/>
        <v/>
      </c>
      <c r="AN35" s="187"/>
      <c r="AO35" s="77" t="str">
        <f t="array" ref="AO35">INDEX(R_Proy__ObjEsp,MATCH(E35,L_Proy,0))</f>
        <v>#N/A</v>
      </c>
      <c r="AP35" s="78"/>
      <c r="AQ35" s="78"/>
      <c r="AR35" s="151"/>
      <c r="AS35" s="78" t="str">
        <f t="array" ref="AS35">INDEX(R_ObjEsp__Prod,MATCH(H35,L_ObjEsp,0))</f>
        <v>#N/A</v>
      </c>
      <c r="AT35" s="188"/>
      <c r="AU35" s="188"/>
      <c r="AV35" s="188"/>
      <c r="AW35" s="188"/>
      <c r="AX35" s="151"/>
      <c r="AY35" s="78" t="str">
        <f t="array" ref="AY35">INDEX(R_Pro__Act,MATCH(I35,L_Prod,0))</f>
        <v>#N/A</v>
      </c>
      <c r="AZ35" s="188"/>
      <c r="BA35" s="188"/>
      <c r="BB35" s="188"/>
      <c r="BC35" s="188"/>
      <c r="BD35" s="188"/>
      <c r="BE35" s="151"/>
      <c r="BF35" s="151"/>
      <c r="BG35" s="151"/>
      <c r="BH35" s="151"/>
      <c r="BI35" s="151"/>
      <c r="BJ35" s="151"/>
      <c r="BK35" s="151"/>
      <c r="BL35" s="151"/>
      <c r="BM35" s="151"/>
    </row>
    <row r="36" ht="67.5" customHeight="1">
      <c r="A36" s="143"/>
      <c r="B36" s="169">
        <v>58.0</v>
      </c>
      <c r="C36" s="230"/>
      <c r="D36" s="171"/>
      <c r="E36" s="172"/>
      <c r="F36" s="173" t="str">
        <f>IF(ISBLANK(E36),"",VLOOKUP(E36,R_Inf_Proy,2,0))</f>
        <v/>
      </c>
      <c r="G36" s="173" t="str">
        <f>IF(ISBLANK(E36),"",VLOOKUP(E36,R_Inf_Proy,3,0))</f>
        <v/>
      </c>
      <c r="H36" s="231"/>
      <c r="I36" s="231"/>
      <c r="J36" s="231"/>
      <c r="K36" s="175"/>
      <c r="L36" s="232"/>
      <c r="M36" s="232"/>
      <c r="N36" s="233"/>
      <c r="O36" s="191"/>
      <c r="P36" s="234"/>
      <c r="Q36" s="235"/>
      <c r="R36" s="236"/>
      <c r="S36" s="236"/>
      <c r="T36" s="234"/>
      <c r="U36" s="234"/>
      <c r="V36" s="234"/>
      <c r="W36" s="234"/>
      <c r="X36" s="237"/>
      <c r="Y36" s="238"/>
      <c r="Z36" s="236"/>
      <c r="AA36" s="236"/>
      <c r="AB36" s="183"/>
      <c r="AC36" s="183"/>
      <c r="AD36" s="183"/>
      <c r="AE36" s="183"/>
      <c r="AF36" s="183"/>
      <c r="AG36" s="183"/>
      <c r="AH36" s="183"/>
      <c r="AI36" s="183"/>
      <c r="AJ36" s="183"/>
      <c r="AK36" s="184"/>
      <c r="AL36" s="185"/>
      <c r="AM36" s="186" t="str">
        <f t="shared" si="7"/>
        <v/>
      </c>
      <c r="AN36" s="187"/>
      <c r="AO36" s="77" t="str">
        <f t="array" ref="AO36">INDEX(R_Proy__ObjEsp,MATCH(E36,L_Proy,0))</f>
        <v>#N/A</v>
      </c>
      <c r="AP36" s="78"/>
      <c r="AQ36" s="78"/>
      <c r="AR36" s="151"/>
      <c r="AS36" s="78" t="str">
        <f t="array" ref="AS36">INDEX(R_ObjEsp__Prod,MATCH(H36,L_ObjEsp,0))</f>
        <v>#N/A</v>
      </c>
      <c r="AT36" s="188"/>
      <c r="AU36" s="188"/>
      <c r="AV36" s="188"/>
      <c r="AW36" s="188"/>
      <c r="AX36" s="151"/>
      <c r="AY36" s="78" t="str">
        <f t="array" ref="AY36">INDEX(R_Pro__Act,MATCH(I36,L_Prod,0))</f>
        <v>#N/A</v>
      </c>
      <c r="AZ36" s="188"/>
      <c r="BA36" s="188"/>
      <c r="BB36" s="188"/>
      <c r="BC36" s="188"/>
      <c r="BD36" s="188"/>
      <c r="BE36" s="151"/>
      <c r="BF36" s="151"/>
      <c r="BG36" s="151"/>
      <c r="BH36" s="151"/>
      <c r="BI36" s="151"/>
      <c r="BJ36" s="151"/>
      <c r="BK36" s="151"/>
      <c r="BL36" s="151"/>
      <c r="BM36" s="151"/>
    </row>
    <row r="37" ht="67.5" customHeight="1">
      <c r="A37" s="143"/>
      <c r="B37" s="169">
        <v>59.0</v>
      </c>
      <c r="C37" s="230"/>
      <c r="D37" s="171"/>
      <c r="E37" s="172"/>
      <c r="F37" s="173" t="str">
        <f>IF(ISBLANK(E37),"",VLOOKUP(E37,R_Inf_Proy,2,0))</f>
        <v/>
      </c>
      <c r="G37" s="173" t="str">
        <f>IF(ISBLANK(E37),"",VLOOKUP(E37,R_Inf_Proy,3,0))</f>
        <v/>
      </c>
      <c r="H37" s="231"/>
      <c r="I37" s="231"/>
      <c r="J37" s="231"/>
      <c r="K37" s="175"/>
      <c r="L37" s="232"/>
      <c r="M37" s="232"/>
      <c r="N37" s="233"/>
      <c r="O37" s="191"/>
      <c r="P37" s="234"/>
      <c r="Q37" s="235"/>
      <c r="R37" s="236"/>
      <c r="S37" s="236"/>
      <c r="T37" s="234"/>
      <c r="U37" s="234"/>
      <c r="V37" s="234"/>
      <c r="W37" s="234"/>
      <c r="X37" s="237"/>
      <c r="Y37" s="238"/>
      <c r="Z37" s="236"/>
      <c r="AA37" s="236"/>
      <c r="AB37" s="183"/>
      <c r="AC37" s="183"/>
      <c r="AD37" s="183"/>
      <c r="AE37" s="183"/>
      <c r="AF37" s="183"/>
      <c r="AG37" s="183"/>
      <c r="AH37" s="183"/>
      <c r="AI37" s="183"/>
      <c r="AJ37" s="183"/>
      <c r="AK37" s="184"/>
      <c r="AL37" s="185"/>
      <c r="AM37" s="186" t="str">
        <f t="shared" si="7"/>
        <v/>
      </c>
      <c r="AN37" s="187"/>
      <c r="AO37" s="77" t="str">
        <f t="array" ref="AO37">INDEX(R_Proy__ObjEsp,MATCH(E37,L_Proy,0))</f>
        <v>#N/A</v>
      </c>
      <c r="AP37" s="78"/>
      <c r="AQ37" s="78"/>
      <c r="AR37" s="151"/>
      <c r="AS37" s="78" t="str">
        <f t="array" ref="AS37">INDEX(R_ObjEsp__Prod,MATCH(H37,L_ObjEsp,0))</f>
        <v>#N/A</v>
      </c>
      <c r="AT37" s="188"/>
      <c r="AU37" s="188"/>
      <c r="AV37" s="188"/>
      <c r="AW37" s="188"/>
      <c r="AX37" s="151"/>
      <c r="AY37" s="78" t="str">
        <f t="array" ref="AY37">INDEX(R_Pro__Act,MATCH(I37,L_Prod,0))</f>
        <v>#N/A</v>
      </c>
      <c r="AZ37" s="188"/>
      <c r="BA37" s="188"/>
      <c r="BB37" s="188"/>
      <c r="BC37" s="188"/>
      <c r="BD37" s="188"/>
      <c r="BE37" s="151"/>
      <c r="BF37" s="151"/>
      <c r="BG37" s="151"/>
      <c r="BH37" s="151"/>
      <c r="BI37" s="151"/>
      <c r="BJ37" s="151"/>
      <c r="BK37" s="151"/>
      <c r="BL37" s="151"/>
      <c r="BM37" s="151"/>
    </row>
    <row r="38" ht="67.5" customHeight="1">
      <c r="A38" s="143"/>
      <c r="B38" s="169">
        <v>60.0</v>
      </c>
      <c r="C38" s="230"/>
      <c r="D38" s="171"/>
      <c r="E38" s="172"/>
      <c r="F38" s="173" t="str">
        <f>IF(ISBLANK(E38),"",VLOOKUP(E38,R_Inf_Proy,2,0))</f>
        <v/>
      </c>
      <c r="G38" s="173" t="str">
        <f>IF(ISBLANK(E38),"",VLOOKUP(E38,R_Inf_Proy,3,0))</f>
        <v/>
      </c>
      <c r="H38" s="231"/>
      <c r="I38" s="231"/>
      <c r="J38" s="231"/>
      <c r="K38" s="175"/>
      <c r="L38" s="232"/>
      <c r="M38" s="232"/>
      <c r="N38" s="233"/>
      <c r="O38" s="191"/>
      <c r="P38" s="234"/>
      <c r="Q38" s="235"/>
      <c r="R38" s="236"/>
      <c r="S38" s="236"/>
      <c r="T38" s="234"/>
      <c r="U38" s="234"/>
      <c r="V38" s="234"/>
      <c r="W38" s="234"/>
      <c r="X38" s="237"/>
      <c r="Y38" s="238"/>
      <c r="Z38" s="236"/>
      <c r="AA38" s="236"/>
      <c r="AB38" s="183"/>
      <c r="AC38" s="183"/>
      <c r="AD38" s="183"/>
      <c r="AE38" s="183"/>
      <c r="AF38" s="183"/>
      <c r="AG38" s="183"/>
      <c r="AH38" s="183"/>
      <c r="AI38" s="183"/>
      <c r="AJ38" s="183"/>
      <c r="AK38" s="184"/>
      <c r="AL38" s="185"/>
      <c r="AM38" s="186" t="str">
        <f t="shared" si="7"/>
        <v/>
      </c>
      <c r="AN38" s="187"/>
      <c r="AO38" s="77" t="str">
        <f t="array" ref="AO38">INDEX(R_Proy__ObjEsp,MATCH(E38,L_Proy,0))</f>
        <v>#N/A</v>
      </c>
      <c r="AP38" s="78"/>
      <c r="AQ38" s="78"/>
      <c r="AR38" s="151"/>
      <c r="AS38" s="78" t="str">
        <f t="array" ref="AS38">INDEX(R_ObjEsp__Prod,MATCH(H38,L_ObjEsp,0))</f>
        <v>#N/A</v>
      </c>
      <c r="AT38" s="188"/>
      <c r="AU38" s="188"/>
      <c r="AV38" s="188"/>
      <c r="AW38" s="188"/>
      <c r="AX38" s="151"/>
      <c r="AY38" s="78" t="str">
        <f t="array" ref="AY38">INDEX(R_Pro__Act,MATCH(I38,L_Prod,0))</f>
        <v>#N/A</v>
      </c>
      <c r="AZ38" s="188"/>
      <c r="BA38" s="188"/>
      <c r="BB38" s="188"/>
      <c r="BC38" s="188"/>
      <c r="BD38" s="188"/>
      <c r="BE38" s="151"/>
      <c r="BF38" s="151"/>
      <c r="BG38" s="151"/>
      <c r="BH38" s="151"/>
      <c r="BI38" s="151"/>
      <c r="BJ38" s="151"/>
      <c r="BK38" s="151"/>
      <c r="BL38" s="151"/>
      <c r="BM38" s="151"/>
    </row>
    <row r="39" ht="67.5" customHeight="1">
      <c r="A39" s="143"/>
      <c r="B39" s="169">
        <v>61.0</v>
      </c>
      <c r="C39" s="230"/>
      <c r="D39" s="171"/>
      <c r="E39" s="172"/>
      <c r="F39" s="173" t="str">
        <f>IF(ISBLANK(E39),"",VLOOKUP(E39,R_Inf_Proy,2,0))</f>
        <v/>
      </c>
      <c r="G39" s="173" t="str">
        <f>IF(ISBLANK(E39),"",VLOOKUP(E39,R_Inf_Proy,3,0))</f>
        <v/>
      </c>
      <c r="H39" s="231"/>
      <c r="I39" s="231"/>
      <c r="J39" s="231"/>
      <c r="K39" s="175"/>
      <c r="L39" s="232"/>
      <c r="M39" s="232"/>
      <c r="N39" s="233"/>
      <c r="O39" s="191"/>
      <c r="P39" s="234"/>
      <c r="Q39" s="235"/>
      <c r="R39" s="236"/>
      <c r="S39" s="236"/>
      <c r="T39" s="234"/>
      <c r="U39" s="234"/>
      <c r="V39" s="234"/>
      <c r="W39" s="234"/>
      <c r="X39" s="237"/>
      <c r="Y39" s="238"/>
      <c r="Z39" s="236"/>
      <c r="AA39" s="236"/>
      <c r="AB39" s="183"/>
      <c r="AC39" s="183"/>
      <c r="AD39" s="183"/>
      <c r="AE39" s="183"/>
      <c r="AF39" s="183"/>
      <c r="AG39" s="183"/>
      <c r="AH39" s="183"/>
      <c r="AI39" s="183"/>
      <c r="AJ39" s="183"/>
      <c r="AK39" s="184"/>
      <c r="AL39" s="185"/>
      <c r="AM39" s="186" t="str">
        <f t="shared" si="7"/>
        <v/>
      </c>
      <c r="AN39" s="187"/>
      <c r="AO39" s="77" t="str">
        <f t="array" ref="AO39">INDEX(R_Proy__ObjEsp,MATCH(E39,L_Proy,0))</f>
        <v>#N/A</v>
      </c>
      <c r="AP39" s="78"/>
      <c r="AQ39" s="78"/>
      <c r="AR39" s="151"/>
      <c r="AS39" s="78" t="str">
        <f t="array" ref="AS39">INDEX(R_ObjEsp__Prod,MATCH(H39,L_ObjEsp,0))</f>
        <v>#N/A</v>
      </c>
      <c r="AT39" s="188"/>
      <c r="AU39" s="188"/>
      <c r="AV39" s="188"/>
      <c r="AW39" s="188"/>
      <c r="AX39" s="151"/>
      <c r="AY39" s="78" t="str">
        <f t="array" ref="AY39">INDEX(R_Pro__Act,MATCH(I39,L_Prod,0))</f>
        <v>#N/A</v>
      </c>
      <c r="AZ39" s="188"/>
      <c r="BA39" s="188"/>
      <c r="BB39" s="188"/>
      <c r="BC39" s="188"/>
      <c r="BD39" s="188"/>
      <c r="BE39" s="151"/>
      <c r="BF39" s="151"/>
      <c r="BG39" s="151"/>
      <c r="BH39" s="151"/>
      <c r="BI39" s="151"/>
      <c r="BJ39" s="151"/>
      <c r="BK39" s="151"/>
      <c r="BL39" s="151"/>
      <c r="BM39" s="151"/>
    </row>
    <row r="40" ht="67.5" customHeight="1">
      <c r="A40" s="143"/>
      <c r="B40" s="169">
        <v>62.0</v>
      </c>
      <c r="C40" s="230"/>
      <c r="D40" s="171"/>
      <c r="E40" s="172"/>
      <c r="F40" s="173" t="str">
        <f>IF(ISBLANK(E40),"",VLOOKUP(E40,R_Inf_Proy,2,0))</f>
        <v/>
      </c>
      <c r="G40" s="173" t="str">
        <f>IF(ISBLANK(E40),"",VLOOKUP(E40,R_Inf_Proy,3,0))</f>
        <v/>
      </c>
      <c r="H40" s="231"/>
      <c r="I40" s="231"/>
      <c r="J40" s="231"/>
      <c r="K40" s="175"/>
      <c r="L40" s="232"/>
      <c r="M40" s="232"/>
      <c r="N40" s="233"/>
      <c r="O40" s="191"/>
      <c r="P40" s="234"/>
      <c r="Q40" s="235"/>
      <c r="R40" s="236"/>
      <c r="S40" s="236"/>
      <c r="T40" s="234"/>
      <c r="U40" s="234"/>
      <c r="V40" s="234"/>
      <c r="W40" s="234"/>
      <c r="X40" s="237"/>
      <c r="Y40" s="238"/>
      <c r="Z40" s="236"/>
      <c r="AA40" s="236"/>
      <c r="AB40" s="183"/>
      <c r="AC40" s="183"/>
      <c r="AD40" s="183"/>
      <c r="AE40" s="183"/>
      <c r="AF40" s="183"/>
      <c r="AG40" s="183"/>
      <c r="AH40" s="183"/>
      <c r="AI40" s="183"/>
      <c r="AJ40" s="183"/>
      <c r="AK40" s="184"/>
      <c r="AL40" s="185"/>
      <c r="AM40" s="186" t="str">
        <f t="shared" si="7"/>
        <v/>
      </c>
      <c r="AN40" s="187"/>
      <c r="AO40" s="77" t="str">
        <f t="array" ref="AO40">INDEX(R_Proy__ObjEsp,MATCH(E40,L_Proy,0))</f>
        <v>#N/A</v>
      </c>
      <c r="AP40" s="78"/>
      <c r="AQ40" s="78"/>
      <c r="AR40" s="151"/>
      <c r="AS40" s="78" t="str">
        <f t="array" ref="AS40">INDEX(R_ObjEsp__Prod,MATCH(H40,L_ObjEsp,0))</f>
        <v>#N/A</v>
      </c>
      <c r="AT40" s="188"/>
      <c r="AU40" s="188"/>
      <c r="AV40" s="188"/>
      <c r="AW40" s="188"/>
      <c r="AX40" s="151"/>
      <c r="AY40" s="78" t="str">
        <f t="array" ref="AY40">INDEX(R_Pro__Act,MATCH(I40,L_Prod,0))</f>
        <v>#N/A</v>
      </c>
      <c r="AZ40" s="188"/>
      <c r="BA40" s="188"/>
      <c r="BB40" s="188"/>
      <c r="BC40" s="188"/>
      <c r="BD40" s="188"/>
      <c r="BE40" s="151"/>
      <c r="BF40" s="151"/>
      <c r="BG40" s="151"/>
      <c r="BH40" s="151"/>
      <c r="BI40" s="151"/>
      <c r="BJ40" s="151"/>
      <c r="BK40" s="151"/>
      <c r="BL40" s="151"/>
      <c r="BM40" s="151"/>
    </row>
    <row r="41" ht="67.5" customHeight="1">
      <c r="A41" s="143"/>
      <c r="B41" s="169">
        <v>63.0</v>
      </c>
      <c r="C41" s="230"/>
      <c r="D41" s="171"/>
      <c r="E41" s="172"/>
      <c r="F41" s="173" t="str">
        <f>IF(ISBLANK(E41),"",VLOOKUP(E41,R_Inf_Proy,2,0))</f>
        <v/>
      </c>
      <c r="G41" s="173" t="str">
        <f>IF(ISBLANK(E41),"",VLOOKUP(E41,R_Inf_Proy,3,0))</f>
        <v/>
      </c>
      <c r="H41" s="231"/>
      <c r="I41" s="231"/>
      <c r="J41" s="231"/>
      <c r="K41" s="175"/>
      <c r="L41" s="232"/>
      <c r="M41" s="232"/>
      <c r="N41" s="233"/>
      <c r="O41" s="191"/>
      <c r="P41" s="234"/>
      <c r="Q41" s="235"/>
      <c r="R41" s="236"/>
      <c r="S41" s="236"/>
      <c r="T41" s="234"/>
      <c r="U41" s="234"/>
      <c r="V41" s="234"/>
      <c r="W41" s="234"/>
      <c r="X41" s="237"/>
      <c r="Y41" s="238"/>
      <c r="Z41" s="236"/>
      <c r="AA41" s="236"/>
      <c r="AB41" s="183"/>
      <c r="AC41" s="183"/>
      <c r="AD41" s="183"/>
      <c r="AE41" s="183"/>
      <c r="AF41" s="183"/>
      <c r="AG41" s="183"/>
      <c r="AH41" s="183"/>
      <c r="AI41" s="183"/>
      <c r="AJ41" s="183"/>
      <c r="AK41" s="184"/>
      <c r="AL41" s="185"/>
      <c r="AM41" s="186" t="str">
        <f t="shared" si="7"/>
        <v/>
      </c>
      <c r="AN41" s="187"/>
      <c r="AO41" s="77" t="str">
        <f t="array" ref="AO41">INDEX(R_Proy__ObjEsp,MATCH(E41,L_Proy,0))</f>
        <v>#N/A</v>
      </c>
      <c r="AP41" s="78"/>
      <c r="AQ41" s="78"/>
      <c r="AR41" s="151"/>
      <c r="AS41" s="78" t="str">
        <f t="array" ref="AS41">INDEX(R_ObjEsp__Prod,MATCH(H41,L_ObjEsp,0))</f>
        <v>#N/A</v>
      </c>
      <c r="AT41" s="188"/>
      <c r="AU41" s="188"/>
      <c r="AV41" s="188"/>
      <c r="AW41" s="188"/>
      <c r="AX41" s="151"/>
      <c r="AY41" s="78" t="str">
        <f t="array" ref="AY41">INDEX(R_Pro__Act,MATCH(I41,L_Prod,0))</f>
        <v>#N/A</v>
      </c>
      <c r="AZ41" s="188"/>
      <c r="BA41" s="188"/>
      <c r="BB41" s="188"/>
      <c r="BC41" s="188"/>
      <c r="BD41" s="188"/>
      <c r="BE41" s="151"/>
      <c r="BF41" s="151"/>
      <c r="BG41" s="151"/>
      <c r="BH41" s="151"/>
      <c r="BI41" s="151"/>
      <c r="BJ41" s="151"/>
      <c r="BK41" s="151"/>
      <c r="BL41" s="151"/>
      <c r="BM41" s="151"/>
    </row>
    <row r="42" ht="67.5" customHeight="1">
      <c r="A42" s="143"/>
      <c r="B42" s="169">
        <v>64.0</v>
      </c>
      <c r="C42" s="230"/>
      <c r="D42" s="171"/>
      <c r="E42" s="172"/>
      <c r="F42" s="173" t="str">
        <f>IF(ISBLANK(E42),"",VLOOKUP(E42,R_Inf_Proy,2,0))</f>
        <v/>
      </c>
      <c r="G42" s="173" t="str">
        <f>IF(ISBLANK(E42),"",VLOOKUP(E42,R_Inf_Proy,3,0))</f>
        <v/>
      </c>
      <c r="H42" s="231"/>
      <c r="I42" s="231"/>
      <c r="J42" s="231"/>
      <c r="K42" s="175"/>
      <c r="L42" s="232"/>
      <c r="M42" s="232"/>
      <c r="N42" s="233"/>
      <c r="O42" s="191"/>
      <c r="P42" s="234"/>
      <c r="Q42" s="235"/>
      <c r="R42" s="236"/>
      <c r="S42" s="236"/>
      <c r="T42" s="234"/>
      <c r="U42" s="234"/>
      <c r="V42" s="234"/>
      <c r="W42" s="234"/>
      <c r="X42" s="237"/>
      <c r="Y42" s="238"/>
      <c r="Z42" s="236"/>
      <c r="AA42" s="236"/>
      <c r="AB42" s="183"/>
      <c r="AC42" s="183"/>
      <c r="AD42" s="183"/>
      <c r="AE42" s="183"/>
      <c r="AF42" s="183"/>
      <c r="AG42" s="183"/>
      <c r="AH42" s="183"/>
      <c r="AI42" s="183"/>
      <c r="AJ42" s="183"/>
      <c r="AK42" s="184"/>
      <c r="AL42" s="185"/>
      <c r="AM42" s="186" t="str">
        <f t="shared" si="7"/>
        <v/>
      </c>
      <c r="AN42" s="187"/>
      <c r="AO42" s="77" t="str">
        <f t="array" ref="AO42">INDEX(R_Proy__ObjEsp,MATCH(E42,L_Proy,0))</f>
        <v>#N/A</v>
      </c>
      <c r="AP42" s="78"/>
      <c r="AQ42" s="78"/>
      <c r="AR42" s="151"/>
      <c r="AS42" s="78" t="str">
        <f t="array" ref="AS42">INDEX(R_ObjEsp__Prod,MATCH(H42,L_ObjEsp,0))</f>
        <v>#N/A</v>
      </c>
      <c r="AT42" s="188"/>
      <c r="AU42" s="188"/>
      <c r="AV42" s="188"/>
      <c r="AW42" s="188"/>
      <c r="AX42" s="151"/>
      <c r="AY42" s="78" t="str">
        <f t="array" ref="AY42">INDEX(R_Pro__Act,MATCH(I42,L_Prod,0))</f>
        <v>#N/A</v>
      </c>
      <c r="AZ42" s="188"/>
      <c r="BA42" s="188"/>
      <c r="BB42" s="188"/>
      <c r="BC42" s="188"/>
      <c r="BD42" s="188"/>
      <c r="BE42" s="151"/>
      <c r="BF42" s="151"/>
      <c r="BG42" s="151"/>
      <c r="BH42" s="151"/>
      <c r="BI42" s="151"/>
      <c r="BJ42" s="151"/>
      <c r="BK42" s="151"/>
      <c r="BL42" s="151"/>
      <c r="BM42" s="151"/>
    </row>
    <row r="43" ht="67.5" customHeight="1">
      <c r="A43" s="143"/>
      <c r="B43" s="169">
        <v>65.0</v>
      </c>
      <c r="C43" s="230"/>
      <c r="D43" s="171"/>
      <c r="E43" s="172"/>
      <c r="F43" s="173" t="str">
        <f>IF(ISBLANK(E43),"",VLOOKUP(E43,R_Inf_Proy,2,0))</f>
        <v/>
      </c>
      <c r="G43" s="173" t="str">
        <f>IF(ISBLANK(E43),"",VLOOKUP(E43,R_Inf_Proy,3,0))</f>
        <v/>
      </c>
      <c r="H43" s="231"/>
      <c r="I43" s="231"/>
      <c r="J43" s="231"/>
      <c r="K43" s="175"/>
      <c r="L43" s="232"/>
      <c r="M43" s="232"/>
      <c r="N43" s="233"/>
      <c r="O43" s="191"/>
      <c r="P43" s="234"/>
      <c r="Q43" s="235"/>
      <c r="R43" s="236"/>
      <c r="S43" s="236"/>
      <c r="T43" s="234"/>
      <c r="U43" s="234"/>
      <c r="V43" s="234"/>
      <c r="W43" s="234"/>
      <c r="X43" s="237"/>
      <c r="Y43" s="238"/>
      <c r="Z43" s="236"/>
      <c r="AA43" s="236"/>
      <c r="AB43" s="183"/>
      <c r="AC43" s="183"/>
      <c r="AD43" s="183"/>
      <c r="AE43" s="183"/>
      <c r="AF43" s="183"/>
      <c r="AG43" s="183"/>
      <c r="AH43" s="183"/>
      <c r="AI43" s="183"/>
      <c r="AJ43" s="183"/>
      <c r="AK43" s="184"/>
      <c r="AL43" s="185"/>
      <c r="AM43" s="186" t="str">
        <f t="shared" si="7"/>
        <v/>
      </c>
      <c r="AN43" s="187"/>
      <c r="AO43" s="77" t="str">
        <f t="array" ref="AO43">INDEX(R_Proy__ObjEsp,MATCH(E43,L_Proy,0))</f>
        <v>#N/A</v>
      </c>
      <c r="AP43" s="78"/>
      <c r="AQ43" s="78"/>
      <c r="AR43" s="151"/>
      <c r="AS43" s="78" t="str">
        <f t="array" ref="AS43">INDEX(R_ObjEsp__Prod,MATCH(H43,L_ObjEsp,0))</f>
        <v>#N/A</v>
      </c>
      <c r="AT43" s="188"/>
      <c r="AU43" s="188"/>
      <c r="AV43" s="188"/>
      <c r="AW43" s="188"/>
      <c r="AX43" s="151"/>
      <c r="AY43" s="78" t="str">
        <f t="array" ref="AY43">INDEX(R_Pro__Act,MATCH(I43,L_Prod,0))</f>
        <v>#N/A</v>
      </c>
      <c r="AZ43" s="188"/>
      <c r="BA43" s="188"/>
      <c r="BB43" s="188"/>
      <c r="BC43" s="188"/>
      <c r="BD43" s="188"/>
      <c r="BE43" s="151"/>
      <c r="BF43" s="151"/>
      <c r="BG43" s="151"/>
      <c r="BH43" s="151"/>
      <c r="BI43" s="151"/>
      <c r="BJ43" s="151"/>
      <c r="BK43" s="151"/>
      <c r="BL43" s="151"/>
      <c r="BM43" s="151"/>
    </row>
    <row r="44" ht="67.5" customHeight="1">
      <c r="A44" s="143"/>
      <c r="B44" s="169">
        <v>66.0</v>
      </c>
      <c r="C44" s="230"/>
      <c r="D44" s="171"/>
      <c r="E44" s="172"/>
      <c r="F44" s="173" t="str">
        <f>IF(ISBLANK(E44),"",VLOOKUP(E44,R_Inf_Proy,2,0))</f>
        <v/>
      </c>
      <c r="G44" s="173" t="str">
        <f>IF(ISBLANK(E44),"",VLOOKUP(E44,R_Inf_Proy,3,0))</f>
        <v/>
      </c>
      <c r="H44" s="231"/>
      <c r="I44" s="231"/>
      <c r="J44" s="231"/>
      <c r="K44" s="175"/>
      <c r="L44" s="232"/>
      <c r="M44" s="232"/>
      <c r="N44" s="233"/>
      <c r="O44" s="191"/>
      <c r="P44" s="234"/>
      <c r="Q44" s="235"/>
      <c r="R44" s="236"/>
      <c r="S44" s="236"/>
      <c r="T44" s="234"/>
      <c r="U44" s="234"/>
      <c r="V44" s="234"/>
      <c r="W44" s="234"/>
      <c r="X44" s="237"/>
      <c r="Y44" s="238"/>
      <c r="Z44" s="236"/>
      <c r="AA44" s="236"/>
      <c r="AB44" s="183"/>
      <c r="AC44" s="183"/>
      <c r="AD44" s="183"/>
      <c r="AE44" s="183"/>
      <c r="AF44" s="183"/>
      <c r="AG44" s="183"/>
      <c r="AH44" s="183"/>
      <c r="AI44" s="183"/>
      <c r="AJ44" s="183"/>
      <c r="AK44" s="184"/>
      <c r="AL44" s="185"/>
      <c r="AM44" s="186" t="str">
        <f t="shared" si="7"/>
        <v/>
      </c>
      <c r="AN44" s="187"/>
      <c r="AO44" s="77" t="str">
        <f t="array" ref="AO44">INDEX(R_Proy__ObjEsp,MATCH(E44,L_Proy,0))</f>
        <v>#N/A</v>
      </c>
      <c r="AP44" s="78"/>
      <c r="AQ44" s="78"/>
      <c r="AR44" s="151"/>
      <c r="AS44" s="78" t="str">
        <f t="array" ref="AS44">INDEX(R_ObjEsp__Prod,MATCH(H44,L_ObjEsp,0))</f>
        <v>#N/A</v>
      </c>
      <c r="AT44" s="188"/>
      <c r="AU44" s="188"/>
      <c r="AV44" s="188"/>
      <c r="AW44" s="188"/>
      <c r="AX44" s="151"/>
      <c r="AY44" s="78" t="str">
        <f t="array" ref="AY44">INDEX(R_Pro__Act,MATCH(I44,L_Prod,0))</f>
        <v>#N/A</v>
      </c>
      <c r="AZ44" s="188"/>
      <c r="BA44" s="188"/>
      <c r="BB44" s="188"/>
      <c r="BC44" s="188"/>
      <c r="BD44" s="188"/>
      <c r="BE44" s="151"/>
      <c r="BF44" s="151"/>
      <c r="BG44" s="151"/>
      <c r="BH44" s="151"/>
      <c r="BI44" s="151"/>
      <c r="BJ44" s="151"/>
      <c r="BK44" s="151"/>
      <c r="BL44" s="151"/>
      <c r="BM44" s="151"/>
    </row>
    <row r="45" ht="67.5" customHeight="1">
      <c r="A45" s="143"/>
      <c r="B45" s="169">
        <v>67.0</v>
      </c>
      <c r="C45" s="230"/>
      <c r="D45" s="171"/>
      <c r="E45" s="172"/>
      <c r="F45" s="173" t="str">
        <f>IF(ISBLANK(E45),"",VLOOKUP(E45,R_Inf_Proy,2,0))</f>
        <v/>
      </c>
      <c r="G45" s="173" t="str">
        <f>IF(ISBLANK(E45),"",VLOOKUP(E45,R_Inf_Proy,3,0))</f>
        <v/>
      </c>
      <c r="H45" s="231"/>
      <c r="I45" s="231"/>
      <c r="J45" s="231"/>
      <c r="K45" s="175"/>
      <c r="L45" s="232"/>
      <c r="M45" s="232"/>
      <c r="N45" s="233"/>
      <c r="O45" s="191"/>
      <c r="P45" s="234"/>
      <c r="Q45" s="235"/>
      <c r="R45" s="236"/>
      <c r="S45" s="236"/>
      <c r="T45" s="234"/>
      <c r="U45" s="234"/>
      <c r="V45" s="234"/>
      <c r="W45" s="234"/>
      <c r="X45" s="237"/>
      <c r="Y45" s="238"/>
      <c r="Z45" s="236"/>
      <c r="AA45" s="236"/>
      <c r="AB45" s="183"/>
      <c r="AC45" s="183"/>
      <c r="AD45" s="183"/>
      <c r="AE45" s="183"/>
      <c r="AF45" s="183"/>
      <c r="AG45" s="183"/>
      <c r="AH45" s="183"/>
      <c r="AI45" s="183"/>
      <c r="AJ45" s="183"/>
      <c r="AK45" s="184"/>
      <c r="AL45" s="185"/>
      <c r="AM45" s="186" t="str">
        <f t="shared" si="7"/>
        <v/>
      </c>
      <c r="AN45" s="187"/>
      <c r="AO45" s="77" t="str">
        <f t="array" ref="AO45">INDEX(R_Proy__ObjEsp,MATCH(E45,L_Proy,0))</f>
        <v>#N/A</v>
      </c>
      <c r="AP45" s="78"/>
      <c r="AQ45" s="78"/>
      <c r="AR45" s="151"/>
      <c r="AS45" s="78" t="str">
        <f t="array" ref="AS45">INDEX(R_ObjEsp__Prod,MATCH(H45,L_ObjEsp,0))</f>
        <v>#N/A</v>
      </c>
      <c r="AT45" s="188"/>
      <c r="AU45" s="188"/>
      <c r="AV45" s="188"/>
      <c r="AW45" s="188"/>
      <c r="AX45" s="151"/>
      <c r="AY45" s="78" t="str">
        <f t="array" ref="AY45">INDEX(R_Pro__Act,MATCH(I45,L_Prod,0))</f>
        <v>#N/A</v>
      </c>
      <c r="AZ45" s="188"/>
      <c r="BA45" s="188"/>
      <c r="BB45" s="188"/>
      <c r="BC45" s="188"/>
      <c r="BD45" s="188"/>
      <c r="BE45" s="151"/>
      <c r="BF45" s="151"/>
      <c r="BG45" s="151"/>
      <c r="BH45" s="151"/>
      <c r="BI45" s="151"/>
      <c r="BJ45" s="151"/>
      <c r="BK45" s="151"/>
      <c r="BL45" s="151"/>
      <c r="BM45" s="151"/>
    </row>
    <row r="46" ht="67.5" customHeight="1">
      <c r="A46" s="143"/>
      <c r="B46" s="169">
        <v>68.0</v>
      </c>
      <c r="C46" s="230"/>
      <c r="D46" s="171"/>
      <c r="E46" s="172"/>
      <c r="F46" s="173" t="str">
        <f>IF(ISBLANK(E46),"",VLOOKUP(E46,R_Inf_Proy,2,0))</f>
        <v/>
      </c>
      <c r="G46" s="173" t="str">
        <f>IF(ISBLANK(E46),"",VLOOKUP(E46,R_Inf_Proy,3,0))</f>
        <v/>
      </c>
      <c r="H46" s="231"/>
      <c r="I46" s="231"/>
      <c r="J46" s="231"/>
      <c r="K46" s="175"/>
      <c r="L46" s="232"/>
      <c r="M46" s="232"/>
      <c r="N46" s="233"/>
      <c r="O46" s="191"/>
      <c r="P46" s="234"/>
      <c r="Q46" s="235"/>
      <c r="R46" s="236"/>
      <c r="S46" s="236"/>
      <c r="T46" s="234"/>
      <c r="U46" s="234"/>
      <c r="V46" s="234"/>
      <c r="W46" s="234"/>
      <c r="X46" s="237"/>
      <c r="Y46" s="238"/>
      <c r="Z46" s="236"/>
      <c r="AA46" s="236"/>
      <c r="AB46" s="183"/>
      <c r="AC46" s="183"/>
      <c r="AD46" s="183"/>
      <c r="AE46" s="183"/>
      <c r="AF46" s="183"/>
      <c r="AG46" s="183"/>
      <c r="AH46" s="183"/>
      <c r="AI46" s="183"/>
      <c r="AJ46" s="183"/>
      <c r="AK46" s="184"/>
      <c r="AL46" s="185"/>
      <c r="AM46" s="186" t="str">
        <f t="shared" si="7"/>
        <v/>
      </c>
      <c r="AN46" s="187"/>
      <c r="AO46" s="77" t="str">
        <f t="array" ref="AO46">INDEX(R_Proy__ObjEsp,MATCH(E46,L_Proy,0))</f>
        <v>#N/A</v>
      </c>
      <c r="AP46" s="78"/>
      <c r="AQ46" s="78"/>
      <c r="AR46" s="151"/>
      <c r="AS46" s="78" t="str">
        <f t="array" ref="AS46">INDEX(R_ObjEsp__Prod,MATCH(H46,L_ObjEsp,0))</f>
        <v>#N/A</v>
      </c>
      <c r="AT46" s="188"/>
      <c r="AU46" s="188"/>
      <c r="AV46" s="188"/>
      <c r="AW46" s="188"/>
      <c r="AX46" s="151"/>
      <c r="AY46" s="78" t="str">
        <f t="array" ref="AY46">INDEX(R_Pro__Act,MATCH(I46,L_Prod,0))</f>
        <v>#N/A</v>
      </c>
      <c r="AZ46" s="188"/>
      <c r="BA46" s="188"/>
      <c r="BB46" s="188"/>
      <c r="BC46" s="188"/>
      <c r="BD46" s="188"/>
      <c r="BE46" s="151"/>
      <c r="BF46" s="151"/>
      <c r="BG46" s="151"/>
      <c r="BH46" s="151"/>
      <c r="BI46" s="151"/>
      <c r="BJ46" s="151"/>
      <c r="BK46" s="151"/>
      <c r="BL46" s="151"/>
      <c r="BM46" s="151"/>
    </row>
    <row r="47" ht="67.5" customHeight="1">
      <c r="A47" s="143"/>
      <c r="B47" s="169">
        <v>69.0</v>
      </c>
      <c r="C47" s="230"/>
      <c r="D47" s="171"/>
      <c r="E47" s="172"/>
      <c r="F47" s="173" t="str">
        <f>IF(ISBLANK(E47),"",VLOOKUP(E47,R_Inf_Proy,2,0))</f>
        <v/>
      </c>
      <c r="G47" s="173" t="str">
        <f>IF(ISBLANK(E47),"",VLOOKUP(E47,R_Inf_Proy,3,0))</f>
        <v/>
      </c>
      <c r="H47" s="231"/>
      <c r="I47" s="231"/>
      <c r="J47" s="231"/>
      <c r="K47" s="175"/>
      <c r="L47" s="232"/>
      <c r="M47" s="232"/>
      <c r="N47" s="233"/>
      <c r="O47" s="191"/>
      <c r="P47" s="234"/>
      <c r="Q47" s="235"/>
      <c r="R47" s="236"/>
      <c r="S47" s="236"/>
      <c r="T47" s="234"/>
      <c r="U47" s="234"/>
      <c r="V47" s="234"/>
      <c r="W47" s="234"/>
      <c r="X47" s="237"/>
      <c r="Y47" s="238"/>
      <c r="Z47" s="236"/>
      <c r="AA47" s="236"/>
      <c r="AB47" s="183"/>
      <c r="AC47" s="183"/>
      <c r="AD47" s="183"/>
      <c r="AE47" s="183"/>
      <c r="AF47" s="183"/>
      <c r="AG47" s="183"/>
      <c r="AH47" s="183"/>
      <c r="AI47" s="183"/>
      <c r="AJ47" s="183"/>
      <c r="AK47" s="184"/>
      <c r="AL47" s="185"/>
      <c r="AM47" s="186" t="str">
        <f t="shared" si="7"/>
        <v/>
      </c>
      <c r="AN47" s="187"/>
      <c r="AO47" s="77" t="str">
        <f t="array" ref="AO47">INDEX(R_Proy__ObjEsp,MATCH(E47,L_Proy,0))</f>
        <v>#N/A</v>
      </c>
      <c r="AP47" s="78"/>
      <c r="AQ47" s="78"/>
      <c r="AR47" s="151"/>
      <c r="AS47" s="78" t="str">
        <f t="array" ref="AS47">INDEX(R_ObjEsp__Prod,MATCH(H47,L_ObjEsp,0))</f>
        <v>#N/A</v>
      </c>
      <c r="AT47" s="188"/>
      <c r="AU47" s="188"/>
      <c r="AV47" s="188"/>
      <c r="AW47" s="188"/>
      <c r="AX47" s="151"/>
      <c r="AY47" s="78" t="str">
        <f t="array" ref="AY47">INDEX(R_Pro__Act,MATCH(I47,L_Prod,0))</f>
        <v>#N/A</v>
      </c>
      <c r="AZ47" s="188"/>
      <c r="BA47" s="188"/>
      <c r="BB47" s="188"/>
      <c r="BC47" s="188"/>
      <c r="BD47" s="188"/>
      <c r="BE47" s="151"/>
      <c r="BF47" s="151"/>
      <c r="BG47" s="151"/>
      <c r="BH47" s="151"/>
      <c r="BI47" s="151"/>
      <c r="BJ47" s="151"/>
      <c r="BK47" s="151"/>
      <c r="BL47" s="151"/>
      <c r="BM47" s="151"/>
    </row>
    <row r="48" ht="67.5" customHeight="1">
      <c r="A48" s="143"/>
      <c r="B48" s="169">
        <v>70.0</v>
      </c>
      <c r="C48" s="230"/>
      <c r="D48" s="171"/>
      <c r="E48" s="172"/>
      <c r="F48" s="173" t="str">
        <f>IF(ISBLANK(E48),"",VLOOKUP(E48,R_Inf_Proy,2,0))</f>
        <v/>
      </c>
      <c r="G48" s="173" t="str">
        <f>IF(ISBLANK(E48),"",VLOOKUP(E48,R_Inf_Proy,3,0))</f>
        <v/>
      </c>
      <c r="H48" s="231"/>
      <c r="I48" s="231"/>
      <c r="J48" s="231"/>
      <c r="K48" s="175"/>
      <c r="L48" s="232"/>
      <c r="M48" s="232"/>
      <c r="N48" s="233"/>
      <c r="O48" s="191"/>
      <c r="P48" s="234"/>
      <c r="Q48" s="235"/>
      <c r="R48" s="236"/>
      <c r="S48" s="236"/>
      <c r="T48" s="234"/>
      <c r="U48" s="234"/>
      <c r="V48" s="234"/>
      <c r="W48" s="234"/>
      <c r="X48" s="237"/>
      <c r="Y48" s="238"/>
      <c r="Z48" s="236"/>
      <c r="AA48" s="236"/>
      <c r="AB48" s="183"/>
      <c r="AC48" s="183"/>
      <c r="AD48" s="183"/>
      <c r="AE48" s="183"/>
      <c r="AF48" s="183"/>
      <c r="AG48" s="183"/>
      <c r="AH48" s="183"/>
      <c r="AI48" s="183"/>
      <c r="AJ48" s="183"/>
      <c r="AK48" s="184"/>
      <c r="AL48" s="185"/>
      <c r="AM48" s="186" t="str">
        <f t="shared" si="7"/>
        <v/>
      </c>
      <c r="AN48" s="187"/>
      <c r="AO48" s="77" t="str">
        <f t="array" ref="AO48">INDEX(R_Proy__ObjEsp,MATCH(E48,L_Proy,0))</f>
        <v>#N/A</v>
      </c>
      <c r="AP48" s="78"/>
      <c r="AQ48" s="78"/>
      <c r="AR48" s="151"/>
      <c r="AS48" s="78" t="str">
        <f t="array" ref="AS48">INDEX(R_ObjEsp__Prod,MATCH(H48,L_ObjEsp,0))</f>
        <v>#N/A</v>
      </c>
      <c r="AT48" s="188"/>
      <c r="AU48" s="188"/>
      <c r="AV48" s="188"/>
      <c r="AW48" s="188"/>
      <c r="AX48" s="151"/>
      <c r="AY48" s="78" t="str">
        <f t="array" ref="AY48">INDEX(R_Pro__Act,MATCH(I48,L_Prod,0))</f>
        <v>#N/A</v>
      </c>
      <c r="AZ48" s="188"/>
      <c r="BA48" s="188"/>
      <c r="BB48" s="188"/>
      <c r="BC48" s="188"/>
      <c r="BD48" s="188"/>
      <c r="BE48" s="151"/>
      <c r="BF48" s="151"/>
      <c r="BG48" s="151"/>
      <c r="BH48" s="151"/>
      <c r="BI48" s="151"/>
      <c r="BJ48" s="151"/>
      <c r="BK48" s="151"/>
      <c r="BL48" s="151"/>
      <c r="BM48" s="151"/>
    </row>
    <row r="49" ht="67.5" customHeight="1">
      <c r="A49" s="143"/>
      <c r="B49" s="169">
        <v>71.0</v>
      </c>
      <c r="C49" s="230"/>
      <c r="D49" s="171"/>
      <c r="E49" s="172"/>
      <c r="F49" s="173" t="str">
        <f>IF(ISBLANK(E49),"",VLOOKUP(E49,R_Inf_Proy,2,0))</f>
        <v/>
      </c>
      <c r="G49" s="173" t="str">
        <f>IF(ISBLANK(E49),"",VLOOKUP(E49,R_Inf_Proy,3,0))</f>
        <v/>
      </c>
      <c r="H49" s="231"/>
      <c r="I49" s="231"/>
      <c r="J49" s="231"/>
      <c r="K49" s="175"/>
      <c r="L49" s="232"/>
      <c r="M49" s="232"/>
      <c r="N49" s="233"/>
      <c r="O49" s="191"/>
      <c r="P49" s="234"/>
      <c r="Q49" s="235"/>
      <c r="R49" s="236"/>
      <c r="S49" s="236"/>
      <c r="T49" s="234"/>
      <c r="U49" s="234"/>
      <c r="V49" s="234"/>
      <c r="W49" s="234"/>
      <c r="X49" s="237"/>
      <c r="Y49" s="238"/>
      <c r="Z49" s="236"/>
      <c r="AA49" s="236"/>
      <c r="AB49" s="183"/>
      <c r="AC49" s="183"/>
      <c r="AD49" s="183"/>
      <c r="AE49" s="183"/>
      <c r="AF49" s="183"/>
      <c r="AG49" s="183"/>
      <c r="AH49" s="183"/>
      <c r="AI49" s="183"/>
      <c r="AJ49" s="183"/>
      <c r="AK49" s="184"/>
      <c r="AL49" s="185"/>
      <c r="AM49" s="186" t="str">
        <f t="shared" si="7"/>
        <v/>
      </c>
      <c r="AN49" s="187"/>
      <c r="AO49" s="77" t="str">
        <f t="array" ref="AO49">INDEX(R_Proy__ObjEsp,MATCH(E49,L_Proy,0))</f>
        <v>#N/A</v>
      </c>
      <c r="AP49" s="78"/>
      <c r="AQ49" s="78"/>
      <c r="AR49" s="151"/>
      <c r="AS49" s="78" t="str">
        <f t="array" ref="AS49">INDEX(R_ObjEsp__Prod,MATCH(H49,L_ObjEsp,0))</f>
        <v>#N/A</v>
      </c>
      <c r="AT49" s="188"/>
      <c r="AU49" s="188"/>
      <c r="AV49" s="188"/>
      <c r="AW49" s="188"/>
      <c r="AX49" s="151"/>
      <c r="AY49" s="78" t="str">
        <f t="array" ref="AY49">INDEX(R_Pro__Act,MATCH(I49,L_Prod,0))</f>
        <v>#N/A</v>
      </c>
      <c r="AZ49" s="188"/>
      <c r="BA49" s="188"/>
      <c r="BB49" s="188"/>
      <c r="BC49" s="188"/>
      <c r="BD49" s="188"/>
      <c r="BE49" s="151"/>
      <c r="BF49" s="151"/>
      <c r="BG49" s="151"/>
      <c r="BH49" s="151"/>
      <c r="BI49" s="151"/>
      <c r="BJ49" s="151"/>
      <c r="BK49" s="151"/>
      <c r="BL49" s="151"/>
      <c r="BM49" s="151"/>
    </row>
    <row r="50" ht="67.5" customHeight="1">
      <c r="A50" s="143"/>
      <c r="B50" s="169">
        <v>72.0</v>
      </c>
      <c r="C50" s="230"/>
      <c r="D50" s="171"/>
      <c r="E50" s="172"/>
      <c r="F50" s="173" t="str">
        <f>IF(ISBLANK(E50),"",VLOOKUP(E50,R_Inf_Proy,2,0))</f>
        <v/>
      </c>
      <c r="G50" s="173" t="str">
        <f>IF(ISBLANK(E50),"",VLOOKUP(E50,R_Inf_Proy,3,0))</f>
        <v/>
      </c>
      <c r="H50" s="231"/>
      <c r="I50" s="231"/>
      <c r="J50" s="231"/>
      <c r="K50" s="175"/>
      <c r="L50" s="232"/>
      <c r="M50" s="232"/>
      <c r="N50" s="233"/>
      <c r="O50" s="191"/>
      <c r="P50" s="234"/>
      <c r="Q50" s="235"/>
      <c r="R50" s="236"/>
      <c r="S50" s="236"/>
      <c r="T50" s="234"/>
      <c r="U50" s="234"/>
      <c r="V50" s="234"/>
      <c r="W50" s="234"/>
      <c r="X50" s="237"/>
      <c r="Y50" s="238"/>
      <c r="Z50" s="236"/>
      <c r="AA50" s="236"/>
      <c r="AB50" s="183"/>
      <c r="AC50" s="183"/>
      <c r="AD50" s="183"/>
      <c r="AE50" s="183"/>
      <c r="AF50" s="183"/>
      <c r="AG50" s="183"/>
      <c r="AH50" s="183"/>
      <c r="AI50" s="183"/>
      <c r="AJ50" s="183"/>
      <c r="AK50" s="184"/>
      <c r="AL50" s="185"/>
      <c r="AM50" s="186" t="str">
        <f t="shared" si="7"/>
        <v/>
      </c>
      <c r="AN50" s="187"/>
      <c r="AO50" s="77" t="str">
        <f t="array" ref="AO50">INDEX(R_Proy__ObjEsp,MATCH(E50,L_Proy,0))</f>
        <v>#N/A</v>
      </c>
      <c r="AP50" s="78"/>
      <c r="AQ50" s="78"/>
      <c r="AR50" s="151"/>
      <c r="AS50" s="78" t="str">
        <f t="array" ref="AS50">INDEX(R_ObjEsp__Prod,MATCH(H50,L_ObjEsp,0))</f>
        <v>#N/A</v>
      </c>
      <c r="AT50" s="188"/>
      <c r="AU50" s="188"/>
      <c r="AV50" s="188"/>
      <c r="AW50" s="188"/>
      <c r="AX50" s="151"/>
      <c r="AY50" s="78" t="str">
        <f t="array" ref="AY50">INDEX(R_Pro__Act,MATCH(I50,L_Prod,0))</f>
        <v>#N/A</v>
      </c>
      <c r="AZ50" s="188"/>
      <c r="BA50" s="188"/>
      <c r="BB50" s="188"/>
      <c r="BC50" s="188"/>
      <c r="BD50" s="188"/>
      <c r="BE50" s="151"/>
      <c r="BF50" s="151"/>
      <c r="BG50" s="151"/>
      <c r="BH50" s="151"/>
      <c r="BI50" s="151"/>
      <c r="BJ50" s="151"/>
      <c r="BK50" s="151"/>
      <c r="BL50" s="151"/>
      <c r="BM50" s="151"/>
    </row>
    <row r="51" ht="67.5" customHeight="1">
      <c r="A51" s="143"/>
      <c r="B51" s="169">
        <v>73.0</v>
      </c>
      <c r="C51" s="230"/>
      <c r="D51" s="171"/>
      <c r="E51" s="172"/>
      <c r="F51" s="173" t="str">
        <f>IF(ISBLANK(E51),"",VLOOKUP(E51,R_Inf_Proy,2,0))</f>
        <v/>
      </c>
      <c r="G51" s="173" t="str">
        <f>IF(ISBLANK(E51),"",VLOOKUP(E51,R_Inf_Proy,3,0))</f>
        <v/>
      </c>
      <c r="H51" s="231"/>
      <c r="I51" s="231"/>
      <c r="J51" s="231"/>
      <c r="K51" s="175"/>
      <c r="L51" s="232"/>
      <c r="M51" s="232"/>
      <c r="N51" s="233"/>
      <c r="O51" s="191"/>
      <c r="P51" s="234"/>
      <c r="Q51" s="235"/>
      <c r="R51" s="236"/>
      <c r="S51" s="236"/>
      <c r="T51" s="234"/>
      <c r="U51" s="234"/>
      <c r="V51" s="234"/>
      <c r="W51" s="234"/>
      <c r="X51" s="237"/>
      <c r="Y51" s="238"/>
      <c r="Z51" s="236"/>
      <c r="AA51" s="236"/>
      <c r="AB51" s="183"/>
      <c r="AC51" s="183"/>
      <c r="AD51" s="183"/>
      <c r="AE51" s="183"/>
      <c r="AF51" s="183"/>
      <c r="AG51" s="183"/>
      <c r="AH51" s="183"/>
      <c r="AI51" s="183"/>
      <c r="AJ51" s="183"/>
      <c r="AK51" s="184"/>
      <c r="AL51" s="185"/>
      <c r="AM51" s="186" t="str">
        <f t="shared" si="7"/>
        <v/>
      </c>
      <c r="AN51" s="187"/>
      <c r="AO51" s="77" t="str">
        <f t="array" ref="AO51">INDEX(R_Proy__ObjEsp,MATCH(E51,L_Proy,0))</f>
        <v>#N/A</v>
      </c>
      <c r="AP51" s="78"/>
      <c r="AQ51" s="78"/>
      <c r="AR51" s="151"/>
      <c r="AS51" s="78" t="str">
        <f t="array" ref="AS51">INDEX(R_ObjEsp__Prod,MATCH(H51,L_ObjEsp,0))</f>
        <v>#N/A</v>
      </c>
      <c r="AT51" s="188"/>
      <c r="AU51" s="188"/>
      <c r="AV51" s="188"/>
      <c r="AW51" s="188"/>
      <c r="AX51" s="151"/>
      <c r="AY51" s="78" t="str">
        <f t="array" ref="AY51">INDEX(R_Pro__Act,MATCH(I51,L_Prod,0))</f>
        <v>#N/A</v>
      </c>
      <c r="AZ51" s="188"/>
      <c r="BA51" s="188"/>
      <c r="BB51" s="188"/>
      <c r="BC51" s="188"/>
      <c r="BD51" s="188"/>
      <c r="BE51" s="151"/>
      <c r="BF51" s="151"/>
      <c r="BG51" s="151"/>
      <c r="BH51" s="151"/>
      <c r="BI51" s="151"/>
      <c r="BJ51" s="151"/>
      <c r="BK51" s="151"/>
      <c r="BL51" s="151"/>
      <c r="BM51" s="151"/>
    </row>
    <row r="52" ht="67.5" customHeight="1">
      <c r="A52" s="143"/>
      <c r="B52" s="169">
        <v>74.0</v>
      </c>
      <c r="C52" s="230"/>
      <c r="D52" s="171"/>
      <c r="E52" s="172"/>
      <c r="F52" s="173" t="str">
        <f>IF(ISBLANK(E52),"",VLOOKUP(E52,R_Inf_Proy,2,0))</f>
        <v/>
      </c>
      <c r="G52" s="173" t="str">
        <f>IF(ISBLANK(E52),"",VLOOKUP(E52,R_Inf_Proy,3,0))</f>
        <v/>
      </c>
      <c r="H52" s="231"/>
      <c r="I52" s="231"/>
      <c r="J52" s="231"/>
      <c r="K52" s="175"/>
      <c r="L52" s="232"/>
      <c r="M52" s="232"/>
      <c r="N52" s="233"/>
      <c r="O52" s="191"/>
      <c r="P52" s="234"/>
      <c r="Q52" s="235"/>
      <c r="R52" s="236"/>
      <c r="S52" s="236"/>
      <c r="T52" s="234"/>
      <c r="U52" s="234"/>
      <c r="V52" s="234"/>
      <c r="W52" s="234"/>
      <c r="X52" s="237"/>
      <c r="Y52" s="238"/>
      <c r="Z52" s="236"/>
      <c r="AA52" s="236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L52" s="185"/>
      <c r="AM52" s="186" t="str">
        <f t="shared" si="7"/>
        <v/>
      </c>
      <c r="AN52" s="187"/>
      <c r="AO52" s="77" t="str">
        <f t="array" ref="AO52">INDEX(R_Proy__ObjEsp,MATCH(E52,L_Proy,0))</f>
        <v>#N/A</v>
      </c>
      <c r="AP52" s="78"/>
      <c r="AQ52" s="78"/>
      <c r="AR52" s="151"/>
      <c r="AS52" s="78" t="str">
        <f t="array" ref="AS52">INDEX(R_ObjEsp__Prod,MATCH(H52,L_ObjEsp,0))</f>
        <v>#N/A</v>
      </c>
      <c r="AT52" s="188"/>
      <c r="AU52" s="188"/>
      <c r="AV52" s="188"/>
      <c r="AW52" s="188"/>
      <c r="AX52" s="151"/>
      <c r="AY52" s="78" t="str">
        <f t="array" ref="AY52">INDEX(R_Pro__Act,MATCH(I52,L_Prod,0))</f>
        <v>#N/A</v>
      </c>
      <c r="AZ52" s="188"/>
      <c r="BA52" s="188"/>
      <c r="BB52" s="188"/>
      <c r="BC52" s="188"/>
      <c r="BD52" s="188"/>
      <c r="BE52" s="151"/>
      <c r="BF52" s="151"/>
      <c r="BG52" s="151"/>
      <c r="BH52" s="151"/>
      <c r="BI52" s="151"/>
      <c r="BJ52" s="151"/>
      <c r="BK52" s="151"/>
      <c r="BL52" s="151"/>
      <c r="BM52" s="151"/>
    </row>
    <row r="53" ht="67.5" customHeight="1">
      <c r="A53" s="143"/>
      <c r="B53" s="169">
        <v>75.0</v>
      </c>
      <c r="C53" s="230"/>
      <c r="D53" s="171"/>
      <c r="E53" s="172"/>
      <c r="F53" s="173" t="str">
        <f>IF(ISBLANK(E53),"",VLOOKUP(E53,R_Inf_Proy,2,0))</f>
        <v/>
      </c>
      <c r="G53" s="173" t="str">
        <f>IF(ISBLANK(E53),"",VLOOKUP(E53,R_Inf_Proy,3,0))</f>
        <v/>
      </c>
      <c r="H53" s="231"/>
      <c r="I53" s="231"/>
      <c r="J53" s="231"/>
      <c r="K53" s="175"/>
      <c r="L53" s="232"/>
      <c r="M53" s="232"/>
      <c r="N53" s="233"/>
      <c r="O53" s="191"/>
      <c r="P53" s="234"/>
      <c r="Q53" s="235"/>
      <c r="R53" s="236"/>
      <c r="S53" s="236"/>
      <c r="T53" s="234"/>
      <c r="U53" s="234"/>
      <c r="V53" s="234"/>
      <c r="W53" s="234"/>
      <c r="X53" s="237"/>
      <c r="Y53" s="238"/>
      <c r="Z53" s="236"/>
      <c r="AA53" s="236"/>
      <c r="AB53" s="183"/>
      <c r="AC53" s="183"/>
      <c r="AD53" s="183"/>
      <c r="AE53" s="183"/>
      <c r="AF53" s="183"/>
      <c r="AG53" s="183"/>
      <c r="AH53" s="183"/>
      <c r="AI53" s="183"/>
      <c r="AJ53" s="183"/>
      <c r="AK53" s="184"/>
      <c r="AL53" s="185"/>
      <c r="AM53" s="186" t="str">
        <f t="shared" si="7"/>
        <v/>
      </c>
      <c r="AN53" s="187"/>
      <c r="AO53" s="77" t="str">
        <f t="array" ref="AO53">INDEX(R_Proy__ObjEsp,MATCH(E53,L_Proy,0))</f>
        <v>#N/A</v>
      </c>
      <c r="AP53" s="78"/>
      <c r="AQ53" s="78"/>
      <c r="AR53" s="151"/>
      <c r="AS53" s="78" t="str">
        <f t="array" ref="AS53">INDEX(R_ObjEsp__Prod,MATCH(H53,L_ObjEsp,0))</f>
        <v>#N/A</v>
      </c>
      <c r="AT53" s="188"/>
      <c r="AU53" s="188"/>
      <c r="AV53" s="188"/>
      <c r="AW53" s="188"/>
      <c r="AX53" s="151"/>
      <c r="AY53" s="78" t="str">
        <f t="array" ref="AY53">INDEX(R_Pro__Act,MATCH(I53,L_Prod,0))</f>
        <v>#N/A</v>
      </c>
      <c r="AZ53" s="188"/>
      <c r="BA53" s="188"/>
      <c r="BB53" s="188"/>
      <c r="BC53" s="188"/>
      <c r="BD53" s="188"/>
      <c r="BE53" s="151"/>
      <c r="BF53" s="151"/>
      <c r="BG53" s="151"/>
      <c r="BH53" s="151"/>
      <c r="BI53" s="151"/>
      <c r="BJ53" s="151"/>
      <c r="BK53" s="151"/>
      <c r="BL53" s="151"/>
      <c r="BM53" s="151"/>
    </row>
    <row r="54" ht="67.5" customHeight="1">
      <c r="A54" s="143"/>
      <c r="B54" s="169">
        <v>76.0</v>
      </c>
      <c r="C54" s="230"/>
      <c r="D54" s="171"/>
      <c r="E54" s="172"/>
      <c r="F54" s="173" t="str">
        <f>IF(ISBLANK(E54),"",VLOOKUP(E54,R_Inf_Proy,2,0))</f>
        <v/>
      </c>
      <c r="G54" s="173" t="str">
        <f>IF(ISBLANK(E54),"",VLOOKUP(E54,R_Inf_Proy,3,0))</f>
        <v/>
      </c>
      <c r="H54" s="231"/>
      <c r="I54" s="231"/>
      <c r="J54" s="231"/>
      <c r="K54" s="175"/>
      <c r="L54" s="232"/>
      <c r="M54" s="232"/>
      <c r="N54" s="233"/>
      <c r="O54" s="191"/>
      <c r="P54" s="234"/>
      <c r="Q54" s="235"/>
      <c r="R54" s="236"/>
      <c r="S54" s="236"/>
      <c r="T54" s="234"/>
      <c r="U54" s="234"/>
      <c r="V54" s="234"/>
      <c r="W54" s="234"/>
      <c r="X54" s="237"/>
      <c r="Y54" s="238"/>
      <c r="Z54" s="236"/>
      <c r="AA54" s="236"/>
      <c r="AB54" s="183"/>
      <c r="AC54" s="183"/>
      <c r="AD54" s="183"/>
      <c r="AE54" s="183"/>
      <c r="AF54" s="183"/>
      <c r="AG54" s="183"/>
      <c r="AH54" s="183"/>
      <c r="AI54" s="183"/>
      <c r="AJ54" s="183"/>
      <c r="AK54" s="184"/>
      <c r="AL54" s="185"/>
      <c r="AM54" s="186" t="str">
        <f t="shared" si="7"/>
        <v/>
      </c>
      <c r="AN54" s="187"/>
      <c r="AO54" s="77" t="str">
        <f t="array" ref="AO54">INDEX(R_Proy__ObjEsp,MATCH(E54,L_Proy,0))</f>
        <v>#N/A</v>
      </c>
      <c r="AP54" s="78"/>
      <c r="AQ54" s="78"/>
      <c r="AR54" s="151"/>
      <c r="AS54" s="78" t="str">
        <f t="array" ref="AS54">INDEX(R_ObjEsp__Prod,MATCH(H54,L_ObjEsp,0))</f>
        <v>#N/A</v>
      </c>
      <c r="AT54" s="188"/>
      <c r="AU54" s="188"/>
      <c r="AV54" s="188"/>
      <c r="AW54" s="188"/>
      <c r="AX54" s="151"/>
      <c r="AY54" s="78" t="str">
        <f t="array" ref="AY54">INDEX(R_Pro__Act,MATCH(I54,L_Prod,0))</f>
        <v>#N/A</v>
      </c>
      <c r="AZ54" s="188"/>
      <c r="BA54" s="188"/>
      <c r="BB54" s="188"/>
      <c r="BC54" s="188"/>
      <c r="BD54" s="188"/>
      <c r="BE54" s="151"/>
      <c r="BF54" s="151"/>
      <c r="BG54" s="151"/>
      <c r="BH54" s="151"/>
      <c r="BI54" s="151"/>
      <c r="BJ54" s="151"/>
      <c r="BK54" s="151"/>
      <c r="BL54" s="151"/>
      <c r="BM54" s="151"/>
    </row>
    <row r="55" ht="67.5" customHeight="1">
      <c r="A55" s="143"/>
      <c r="B55" s="169">
        <v>77.0</v>
      </c>
      <c r="C55" s="230"/>
      <c r="D55" s="171"/>
      <c r="E55" s="172"/>
      <c r="F55" s="173" t="str">
        <f>IF(ISBLANK(E55),"",VLOOKUP(E55,R_Inf_Proy,2,0))</f>
        <v/>
      </c>
      <c r="G55" s="173" t="str">
        <f>IF(ISBLANK(E55),"",VLOOKUP(E55,R_Inf_Proy,3,0))</f>
        <v/>
      </c>
      <c r="H55" s="231"/>
      <c r="I55" s="231"/>
      <c r="J55" s="231"/>
      <c r="K55" s="175"/>
      <c r="L55" s="232"/>
      <c r="M55" s="232"/>
      <c r="N55" s="233"/>
      <c r="O55" s="191"/>
      <c r="P55" s="234"/>
      <c r="Q55" s="235"/>
      <c r="R55" s="236"/>
      <c r="S55" s="236"/>
      <c r="T55" s="234"/>
      <c r="U55" s="234"/>
      <c r="V55" s="234"/>
      <c r="W55" s="234"/>
      <c r="X55" s="237"/>
      <c r="Y55" s="238"/>
      <c r="Z55" s="236"/>
      <c r="AA55" s="236"/>
      <c r="AB55" s="183"/>
      <c r="AC55" s="183"/>
      <c r="AD55" s="183"/>
      <c r="AE55" s="183"/>
      <c r="AF55" s="183"/>
      <c r="AG55" s="183"/>
      <c r="AH55" s="183"/>
      <c r="AI55" s="183"/>
      <c r="AJ55" s="183"/>
      <c r="AK55" s="184"/>
      <c r="AL55" s="185"/>
      <c r="AM55" s="186" t="str">
        <f t="shared" si="7"/>
        <v/>
      </c>
      <c r="AN55" s="187"/>
      <c r="AO55" s="77" t="str">
        <f t="array" ref="AO55">INDEX(R_Proy__ObjEsp,MATCH(E55,L_Proy,0))</f>
        <v>#N/A</v>
      </c>
      <c r="AP55" s="78"/>
      <c r="AQ55" s="78"/>
      <c r="AR55" s="151"/>
      <c r="AS55" s="78" t="str">
        <f t="array" ref="AS55">INDEX(R_ObjEsp__Prod,MATCH(H55,L_ObjEsp,0))</f>
        <v>#N/A</v>
      </c>
      <c r="AT55" s="188"/>
      <c r="AU55" s="188"/>
      <c r="AV55" s="188"/>
      <c r="AW55" s="188"/>
      <c r="AX55" s="151"/>
      <c r="AY55" s="78" t="str">
        <f t="array" ref="AY55">INDEX(R_Pro__Act,MATCH(I55,L_Prod,0))</f>
        <v>#N/A</v>
      </c>
      <c r="AZ55" s="188"/>
      <c r="BA55" s="188"/>
      <c r="BB55" s="188"/>
      <c r="BC55" s="188"/>
      <c r="BD55" s="188"/>
      <c r="BE55" s="151"/>
      <c r="BF55" s="151"/>
      <c r="BG55" s="151"/>
      <c r="BH55" s="151"/>
      <c r="BI55" s="151"/>
      <c r="BJ55" s="151"/>
      <c r="BK55" s="151"/>
      <c r="BL55" s="151"/>
      <c r="BM55" s="151"/>
    </row>
    <row r="56" ht="67.5" customHeight="1">
      <c r="A56" s="143"/>
      <c r="B56" s="169">
        <v>78.0</v>
      </c>
      <c r="C56" s="230"/>
      <c r="D56" s="171"/>
      <c r="E56" s="172"/>
      <c r="F56" s="173" t="str">
        <f>IF(ISBLANK(E56),"",VLOOKUP(E56,R_Inf_Proy,2,0))</f>
        <v/>
      </c>
      <c r="G56" s="173" t="str">
        <f>IF(ISBLANK(E56),"",VLOOKUP(E56,R_Inf_Proy,3,0))</f>
        <v/>
      </c>
      <c r="H56" s="231"/>
      <c r="I56" s="231"/>
      <c r="J56" s="231"/>
      <c r="K56" s="175"/>
      <c r="L56" s="232"/>
      <c r="M56" s="232"/>
      <c r="N56" s="233"/>
      <c r="O56" s="191"/>
      <c r="P56" s="234"/>
      <c r="Q56" s="235"/>
      <c r="R56" s="236"/>
      <c r="S56" s="236"/>
      <c r="T56" s="234"/>
      <c r="U56" s="234"/>
      <c r="V56" s="234"/>
      <c r="W56" s="234"/>
      <c r="X56" s="237"/>
      <c r="Y56" s="238"/>
      <c r="Z56" s="236"/>
      <c r="AA56" s="236"/>
      <c r="AB56" s="183"/>
      <c r="AC56" s="183"/>
      <c r="AD56" s="183"/>
      <c r="AE56" s="183"/>
      <c r="AF56" s="183"/>
      <c r="AG56" s="183"/>
      <c r="AH56" s="183"/>
      <c r="AI56" s="183"/>
      <c r="AJ56" s="183"/>
      <c r="AK56" s="184"/>
      <c r="AL56" s="185"/>
      <c r="AM56" s="186" t="str">
        <f t="shared" si="7"/>
        <v/>
      </c>
      <c r="AN56" s="187"/>
      <c r="AO56" s="77" t="str">
        <f t="array" ref="AO56">INDEX(R_Proy__ObjEsp,MATCH(E56,L_Proy,0))</f>
        <v>#N/A</v>
      </c>
      <c r="AP56" s="78"/>
      <c r="AQ56" s="78"/>
      <c r="AR56" s="151"/>
      <c r="AS56" s="78" t="str">
        <f t="array" ref="AS56">INDEX(R_ObjEsp__Prod,MATCH(H56,L_ObjEsp,0))</f>
        <v>#N/A</v>
      </c>
      <c r="AT56" s="188"/>
      <c r="AU56" s="188"/>
      <c r="AV56" s="188"/>
      <c r="AW56" s="188"/>
      <c r="AX56" s="151"/>
      <c r="AY56" s="78" t="str">
        <f t="array" ref="AY56">INDEX(R_Pro__Act,MATCH(I56,L_Prod,0))</f>
        <v>#N/A</v>
      </c>
      <c r="AZ56" s="188"/>
      <c r="BA56" s="188"/>
      <c r="BB56" s="188"/>
      <c r="BC56" s="188"/>
      <c r="BD56" s="188"/>
      <c r="BE56" s="151"/>
      <c r="BF56" s="151"/>
      <c r="BG56" s="151"/>
      <c r="BH56" s="151"/>
      <c r="BI56" s="151"/>
      <c r="BJ56" s="151"/>
      <c r="BK56" s="151"/>
      <c r="BL56" s="151"/>
      <c r="BM56" s="151"/>
    </row>
    <row r="57" ht="67.5" customHeight="1">
      <c r="A57" s="143"/>
      <c r="B57" s="169">
        <v>79.0</v>
      </c>
      <c r="C57" s="230"/>
      <c r="D57" s="171"/>
      <c r="E57" s="172"/>
      <c r="F57" s="173" t="str">
        <f>IF(ISBLANK(E57),"",VLOOKUP(E57,R_Inf_Proy,2,0))</f>
        <v/>
      </c>
      <c r="G57" s="173" t="str">
        <f>IF(ISBLANK(E57),"",VLOOKUP(E57,R_Inf_Proy,3,0))</f>
        <v/>
      </c>
      <c r="H57" s="231"/>
      <c r="I57" s="231"/>
      <c r="J57" s="231"/>
      <c r="K57" s="175"/>
      <c r="L57" s="232"/>
      <c r="M57" s="232"/>
      <c r="N57" s="233"/>
      <c r="O57" s="191"/>
      <c r="P57" s="234"/>
      <c r="Q57" s="235"/>
      <c r="R57" s="236"/>
      <c r="S57" s="236"/>
      <c r="T57" s="234"/>
      <c r="U57" s="234"/>
      <c r="V57" s="234"/>
      <c r="W57" s="234"/>
      <c r="X57" s="237"/>
      <c r="Y57" s="238"/>
      <c r="Z57" s="236"/>
      <c r="AA57" s="236"/>
      <c r="AB57" s="183"/>
      <c r="AC57" s="183"/>
      <c r="AD57" s="183"/>
      <c r="AE57" s="183"/>
      <c r="AF57" s="183"/>
      <c r="AG57" s="183"/>
      <c r="AH57" s="183"/>
      <c r="AI57" s="183"/>
      <c r="AJ57" s="183"/>
      <c r="AK57" s="184"/>
      <c r="AL57" s="185"/>
      <c r="AM57" s="186" t="str">
        <f t="shared" si="7"/>
        <v/>
      </c>
      <c r="AN57" s="187"/>
      <c r="AO57" s="77" t="str">
        <f t="array" ref="AO57">INDEX(R_Proy__ObjEsp,MATCH(E57,L_Proy,0))</f>
        <v>#N/A</v>
      </c>
      <c r="AP57" s="78"/>
      <c r="AQ57" s="78"/>
      <c r="AR57" s="151"/>
      <c r="AS57" s="78" t="str">
        <f t="array" ref="AS57">INDEX(R_ObjEsp__Prod,MATCH(H57,L_ObjEsp,0))</f>
        <v>#N/A</v>
      </c>
      <c r="AT57" s="188"/>
      <c r="AU57" s="188"/>
      <c r="AV57" s="188"/>
      <c r="AW57" s="188"/>
      <c r="AX57" s="151"/>
      <c r="AY57" s="78" t="str">
        <f t="array" ref="AY57">INDEX(R_Pro__Act,MATCH(I57,L_Prod,0))</f>
        <v>#N/A</v>
      </c>
      <c r="AZ57" s="188"/>
      <c r="BA57" s="188"/>
      <c r="BB57" s="188"/>
      <c r="BC57" s="188"/>
      <c r="BD57" s="188"/>
      <c r="BE57" s="151"/>
      <c r="BF57" s="151"/>
      <c r="BG57" s="151"/>
      <c r="BH57" s="151"/>
      <c r="BI57" s="151"/>
      <c r="BJ57" s="151"/>
      <c r="BK57" s="151"/>
      <c r="BL57" s="151"/>
      <c r="BM57" s="151"/>
    </row>
    <row r="58" ht="67.5" customHeight="1">
      <c r="A58" s="143"/>
      <c r="B58" s="169">
        <v>80.0</v>
      </c>
      <c r="C58" s="230"/>
      <c r="D58" s="171"/>
      <c r="E58" s="172"/>
      <c r="F58" s="173" t="str">
        <f>IF(ISBLANK(E58),"",VLOOKUP(E58,R_Inf_Proy,2,0))</f>
        <v/>
      </c>
      <c r="G58" s="173" t="str">
        <f>IF(ISBLANK(E58),"",VLOOKUP(E58,R_Inf_Proy,3,0))</f>
        <v/>
      </c>
      <c r="H58" s="231"/>
      <c r="I58" s="231"/>
      <c r="J58" s="231"/>
      <c r="K58" s="175"/>
      <c r="L58" s="232"/>
      <c r="M58" s="232"/>
      <c r="N58" s="233"/>
      <c r="O58" s="191"/>
      <c r="P58" s="234"/>
      <c r="Q58" s="235"/>
      <c r="R58" s="236"/>
      <c r="S58" s="236"/>
      <c r="T58" s="234"/>
      <c r="U58" s="234"/>
      <c r="V58" s="234"/>
      <c r="W58" s="234"/>
      <c r="X58" s="237"/>
      <c r="Y58" s="238"/>
      <c r="Z58" s="236"/>
      <c r="AA58" s="236"/>
      <c r="AB58" s="183"/>
      <c r="AC58" s="183"/>
      <c r="AD58" s="183"/>
      <c r="AE58" s="183"/>
      <c r="AF58" s="183"/>
      <c r="AG58" s="183"/>
      <c r="AH58" s="183"/>
      <c r="AI58" s="183"/>
      <c r="AJ58" s="183"/>
      <c r="AK58" s="184"/>
      <c r="AL58" s="185"/>
      <c r="AM58" s="186" t="str">
        <f t="shared" si="7"/>
        <v/>
      </c>
      <c r="AN58" s="187"/>
      <c r="AO58" s="77" t="str">
        <f t="array" ref="AO58">INDEX(R_Proy__ObjEsp,MATCH(E58,L_Proy,0))</f>
        <v>#N/A</v>
      </c>
      <c r="AP58" s="78"/>
      <c r="AQ58" s="78"/>
      <c r="AR58" s="151"/>
      <c r="AS58" s="78" t="str">
        <f t="array" ref="AS58">INDEX(R_ObjEsp__Prod,MATCH(H58,L_ObjEsp,0))</f>
        <v>#N/A</v>
      </c>
      <c r="AT58" s="188"/>
      <c r="AU58" s="188"/>
      <c r="AV58" s="188"/>
      <c r="AW58" s="188"/>
      <c r="AX58" s="151"/>
      <c r="AY58" s="78" t="str">
        <f t="array" ref="AY58">INDEX(R_Pro__Act,MATCH(I58,L_Prod,0))</f>
        <v>#N/A</v>
      </c>
      <c r="AZ58" s="188"/>
      <c r="BA58" s="188"/>
      <c r="BB58" s="188"/>
      <c r="BC58" s="188"/>
      <c r="BD58" s="188"/>
      <c r="BE58" s="151"/>
      <c r="BF58" s="151"/>
      <c r="BG58" s="151"/>
      <c r="BH58" s="151"/>
      <c r="BI58" s="151"/>
      <c r="BJ58" s="151"/>
      <c r="BK58" s="151"/>
      <c r="BL58" s="151"/>
      <c r="BM58" s="151"/>
    </row>
    <row r="59" ht="67.5" customHeight="1">
      <c r="A59" s="143"/>
      <c r="B59" s="169">
        <v>81.0</v>
      </c>
      <c r="C59" s="230"/>
      <c r="D59" s="171"/>
      <c r="E59" s="172"/>
      <c r="F59" s="173" t="str">
        <f>IF(ISBLANK(E59),"",VLOOKUP(E59,R_Inf_Proy,2,0))</f>
        <v/>
      </c>
      <c r="G59" s="173" t="str">
        <f>IF(ISBLANK(E59),"",VLOOKUP(E59,R_Inf_Proy,3,0))</f>
        <v/>
      </c>
      <c r="H59" s="231"/>
      <c r="I59" s="231"/>
      <c r="J59" s="231"/>
      <c r="K59" s="175"/>
      <c r="L59" s="232"/>
      <c r="M59" s="232"/>
      <c r="N59" s="233"/>
      <c r="O59" s="191"/>
      <c r="P59" s="234"/>
      <c r="Q59" s="235"/>
      <c r="R59" s="236"/>
      <c r="S59" s="236"/>
      <c r="T59" s="234"/>
      <c r="U59" s="234"/>
      <c r="V59" s="234"/>
      <c r="W59" s="234"/>
      <c r="X59" s="237"/>
      <c r="Y59" s="238"/>
      <c r="Z59" s="236"/>
      <c r="AA59" s="236"/>
      <c r="AB59" s="183"/>
      <c r="AC59" s="183"/>
      <c r="AD59" s="183"/>
      <c r="AE59" s="183"/>
      <c r="AF59" s="183"/>
      <c r="AG59" s="183"/>
      <c r="AH59" s="183"/>
      <c r="AI59" s="183"/>
      <c r="AJ59" s="183"/>
      <c r="AK59" s="184"/>
      <c r="AL59" s="185"/>
      <c r="AM59" s="186" t="str">
        <f t="shared" si="7"/>
        <v/>
      </c>
      <c r="AN59" s="187"/>
      <c r="AO59" s="77" t="str">
        <f t="array" ref="AO59">INDEX(R_Proy__ObjEsp,MATCH(E59,L_Proy,0))</f>
        <v>#N/A</v>
      </c>
      <c r="AP59" s="78"/>
      <c r="AQ59" s="78"/>
      <c r="AR59" s="151"/>
      <c r="AS59" s="78" t="str">
        <f t="array" ref="AS59">INDEX(R_ObjEsp__Prod,MATCH(H59,L_ObjEsp,0))</f>
        <v>#N/A</v>
      </c>
      <c r="AT59" s="188"/>
      <c r="AU59" s="188"/>
      <c r="AV59" s="188"/>
      <c r="AW59" s="188"/>
      <c r="AX59" s="151"/>
      <c r="AY59" s="78" t="str">
        <f t="array" ref="AY59">INDEX(R_Pro__Act,MATCH(I59,L_Prod,0))</f>
        <v>#N/A</v>
      </c>
      <c r="AZ59" s="188"/>
      <c r="BA59" s="188"/>
      <c r="BB59" s="188"/>
      <c r="BC59" s="188"/>
      <c r="BD59" s="188"/>
      <c r="BE59" s="151"/>
      <c r="BF59" s="151"/>
      <c r="BG59" s="151"/>
      <c r="BH59" s="151"/>
      <c r="BI59" s="151"/>
      <c r="BJ59" s="151"/>
      <c r="BK59" s="151"/>
      <c r="BL59" s="151"/>
      <c r="BM59" s="151"/>
    </row>
    <row r="60" ht="67.5" customHeight="1">
      <c r="A60" s="143"/>
      <c r="B60" s="169">
        <v>82.0</v>
      </c>
      <c r="C60" s="230"/>
      <c r="D60" s="171"/>
      <c r="E60" s="172"/>
      <c r="F60" s="173" t="str">
        <f>IF(ISBLANK(E60),"",VLOOKUP(E60,R_Inf_Proy,2,0))</f>
        <v/>
      </c>
      <c r="G60" s="173" t="str">
        <f>IF(ISBLANK(E60),"",VLOOKUP(E60,R_Inf_Proy,3,0))</f>
        <v/>
      </c>
      <c r="H60" s="231"/>
      <c r="I60" s="231"/>
      <c r="J60" s="231"/>
      <c r="K60" s="175"/>
      <c r="L60" s="232"/>
      <c r="M60" s="232"/>
      <c r="N60" s="233"/>
      <c r="O60" s="191"/>
      <c r="P60" s="234"/>
      <c r="Q60" s="235"/>
      <c r="R60" s="236"/>
      <c r="S60" s="236"/>
      <c r="T60" s="234"/>
      <c r="U60" s="234"/>
      <c r="V60" s="234"/>
      <c r="W60" s="234"/>
      <c r="X60" s="237"/>
      <c r="Y60" s="238"/>
      <c r="Z60" s="236"/>
      <c r="AA60" s="236"/>
      <c r="AB60" s="183"/>
      <c r="AC60" s="183"/>
      <c r="AD60" s="183"/>
      <c r="AE60" s="183"/>
      <c r="AF60" s="183"/>
      <c r="AG60" s="183"/>
      <c r="AH60" s="183"/>
      <c r="AI60" s="183"/>
      <c r="AJ60" s="183"/>
      <c r="AK60" s="184"/>
      <c r="AL60" s="185"/>
      <c r="AM60" s="186" t="str">
        <f t="shared" si="7"/>
        <v/>
      </c>
      <c r="AN60" s="187"/>
      <c r="AO60" s="77" t="str">
        <f t="array" ref="AO60">INDEX(R_Proy__ObjEsp,MATCH(E60,L_Proy,0))</f>
        <v>#N/A</v>
      </c>
      <c r="AP60" s="78"/>
      <c r="AQ60" s="78"/>
      <c r="AR60" s="151"/>
      <c r="AS60" s="78" t="str">
        <f t="array" ref="AS60">INDEX(R_ObjEsp__Prod,MATCH(H60,L_ObjEsp,0))</f>
        <v>#N/A</v>
      </c>
      <c r="AT60" s="188"/>
      <c r="AU60" s="188"/>
      <c r="AV60" s="188"/>
      <c r="AW60" s="188"/>
      <c r="AX60" s="151"/>
      <c r="AY60" s="78" t="str">
        <f t="array" ref="AY60">INDEX(R_Pro__Act,MATCH(I60,L_Prod,0))</f>
        <v>#N/A</v>
      </c>
      <c r="AZ60" s="188"/>
      <c r="BA60" s="188"/>
      <c r="BB60" s="188"/>
      <c r="BC60" s="188"/>
      <c r="BD60" s="188"/>
      <c r="BE60" s="151"/>
      <c r="BF60" s="151"/>
      <c r="BG60" s="151"/>
      <c r="BH60" s="151"/>
      <c r="BI60" s="151"/>
      <c r="BJ60" s="151"/>
      <c r="BK60" s="151"/>
      <c r="BL60" s="151"/>
      <c r="BM60" s="151"/>
    </row>
    <row r="61" ht="67.5" customHeight="1">
      <c r="A61" s="143"/>
      <c r="B61" s="169">
        <v>83.0</v>
      </c>
      <c r="C61" s="230"/>
      <c r="D61" s="171"/>
      <c r="E61" s="172"/>
      <c r="F61" s="173" t="str">
        <f>IF(ISBLANK(E61),"",VLOOKUP(E61,R_Inf_Proy,2,0))</f>
        <v/>
      </c>
      <c r="G61" s="173" t="str">
        <f>IF(ISBLANK(E61),"",VLOOKUP(E61,R_Inf_Proy,3,0))</f>
        <v/>
      </c>
      <c r="H61" s="231"/>
      <c r="I61" s="231"/>
      <c r="J61" s="231"/>
      <c r="K61" s="175"/>
      <c r="L61" s="232"/>
      <c r="M61" s="232"/>
      <c r="N61" s="233"/>
      <c r="O61" s="191"/>
      <c r="P61" s="234"/>
      <c r="Q61" s="235"/>
      <c r="R61" s="236"/>
      <c r="S61" s="236"/>
      <c r="T61" s="234"/>
      <c r="U61" s="234"/>
      <c r="V61" s="234"/>
      <c r="W61" s="234"/>
      <c r="X61" s="237"/>
      <c r="Y61" s="238"/>
      <c r="Z61" s="236"/>
      <c r="AA61" s="236"/>
      <c r="AB61" s="183"/>
      <c r="AC61" s="183"/>
      <c r="AD61" s="183"/>
      <c r="AE61" s="183"/>
      <c r="AF61" s="183"/>
      <c r="AG61" s="183"/>
      <c r="AH61" s="183"/>
      <c r="AI61" s="183"/>
      <c r="AJ61" s="183"/>
      <c r="AK61" s="184"/>
      <c r="AL61" s="185"/>
      <c r="AM61" s="186" t="str">
        <f t="shared" si="7"/>
        <v/>
      </c>
      <c r="AN61" s="187"/>
      <c r="AO61" s="77" t="str">
        <f t="array" ref="AO61">INDEX(R_Proy__ObjEsp,MATCH(E61,L_Proy,0))</f>
        <v>#N/A</v>
      </c>
      <c r="AP61" s="78"/>
      <c r="AQ61" s="78"/>
      <c r="AR61" s="151"/>
      <c r="AS61" s="78" t="str">
        <f t="array" ref="AS61">INDEX(R_ObjEsp__Prod,MATCH(H61,L_ObjEsp,0))</f>
        <v>#N/A</v>
      </c>
      <c r="AT61" s="188"/>
      <c r="AU61" s="188"/>
      <c r="AV61" s="188"/>
      <c r="AW61" s="188"/>
      <c r="AX61" s="151"/>
      <c r="AY61" s="78" t="str">
        <f t="array" ref="AY61">INDEX(R_Pro__Act,MATCH(I61,L_Prod,0))</f>
        <v>#N/A</v>
      </c>
      <c r="AZ61" s="188"/>
      <c r="BA61" s="188"/>
      <c r="BB61" s="188"/>
      <c r="BC61" s="188"/>
      <c r="BD61" s="188"/>
      <c r="BE61" s="151"/>
      <c r="BF61" s="151"/>
      <c r="BG61" s="151"/>
      <c r="BH61" s="151"/>
      <c r="BI61" s="151"/>
      <c r="BJ61" s="151"/>
      <c r="BK61" s="151"/>
      <c r="BL61" s="151"/>
      <c r="BM61" s="151"/>
    </row>
    <row r="62" ht="67.5" customHeight="1">
      <c r="A62" s="143"/>
      <c r="B62" s="169">
        <v>84.0</v>
      </c>
      <c r="C62" s="230"/>
      <c r="D62" s="171"/>
      <c r="E62" s="172"/>
      <c r="F62" s="173" t="str">
        <f>IF(ISBLANK(E62),"",VLOOKUP(E62,R_Inf_Proy,2,0))</f>
        <v/>
      </c>
      <c r="G62" s="173" t="str">
        <f>IF(ISBLANK(E62),"",VLOOKUP(E62,R_Inf_Proy,3,0))</f>
        <v/>
      </c>
      <c r="H62" s="231"/>
      <c r="I62" s="231"/>
      <c r="J62" s="231"/>
      <c r="K62" s="175"/>
      <c r="L62" s="232"/>
      <c r="M62" s="232"/>
      <c r="N62" s="233"/>
      <c r="O62" s="191"/>
      <c r="P62" s="234"/>
      <c r="Q62" s="235"/>
      <c r="R62" s="236"/>
      <c r="S62" s="236"/>
      <c r="T62" s="234"/>
      <c r="U62" s="234"/>
      <c r="V62" s="234"/>
      <c r="W62" s="234"/>
      <c r="X62" s="237"/>
      <c r="Y62" s="238"/>
      <c r="Z62" s="236"/>
      <c r="AA62" s="236"/>
      <c r="AB62" s="183"/>
      <c r="AC62" s="183"/>
      <c r="AD62" s="183"/>
      <c r="AE62" s="183"/>
      <c r="AF62" s="183"/>
      <c r="AG62" s="183"/>
      <c r="AH62" s="183"/>
      <c r="AI62" s="183"/>
      <c r="AJ62" s="183"/>
      <c r="AK62" s="184"/>
      <c r="AL62" s="185"/>
      <c r="AM62" s="186" t="str">
        <f t="shared" si="7"/>
        <v/>
      </c>
      <c r="AN62" s="187"/>
      <c r="AO62" s="77" t="str">
        <f t="array" ref="AO62">INDEX(R_Proy__ObjEsp,MATCH(E62,L_Proy,0))</f>
        <v>#N/A</v>
      </c>
      <c r="AP62" s="78"/>
      <c r="AQ62" s="78"/>
      <c r="AR62" s="151"/>
      <c r="AS62" s="78" t="str">
        <f t="array" ref="AS62">INDEX(R_ObjEsp__Prod,MATCH(H62,L_ObjEsp,0))</f>
        <v>#N/A</v>
      </c>
      <c r="AT62" s="188"/>
      <c r="AU62" s="188"/>
      <c r="AV62" s="188"/>
      <c r="AW62" s="188"/>
      <c r="AX62" s="151"/>
      <c r="AY62" s="78" t="str">
        <f t="array" ref="AY62">INDEX(R_Pro__Act,MATCH(I62,L_Prod,0))</f>
        <v>#N/A</v>
      </c>
      <c r="AZ62" s="188"/>
      <c r="BA62" s="188"/>
      <c r="BB62" s="188"/>
      <c r="BC62" s="188"/>
      <c r="BD62" s="188"/>
      <c r="BE62" s="151"/>
      <c r="BF62" s="151"/>
      <c r="BG62" s="151"/>
      <c r="BH62" s="151"/>
      <c r="BI62" s="151"/>
      <c r="BJ62" s="151"/>
      <c r="BK62" s="151"/>
      <c r="BL62" s="151"/>
      <c r="BM62" s="151"/>
    </row>
    <row r="63" ht="67.5" customHeight="1">
      <c r="A63" s="143"/>
      <c r="B63" s="169">
        <v>85.0</v>
      </c>
      <c r="C63" s="230"/>
      <c r="D63" s="171"/>
      <c r="E63" s="172"/>
      <c r="F63" s="173" t="str">
        <f>IF(ISBLANK(E63),"",VLOOKUP(E63,R_Inf_Proy,2,0))</f>
        <v/>
      </c>
      <c r="G63" s="173" t="str">
        <f>IF(ISBLANK(E63),"",VLOOKUP(E63,R_Inf_Proy,3,0))</f>
        <v/>
      </c>
      <c r="H63" s="231"/>
      <c r="I63" s="231"/>
      <c r="J63" s="231"/>
      <c r="K63" s="175"/>
      <c r="L63" s="232"/>
      <c r="M63" s="232"/>
      <c r="N63" s="233"/>
      <c r="O63" s="191"/>
      <c r="P63" s="234"/>
      <c r="Q63" s="235"/>
      <c r="R63" s="236"/>
      <c r="S63" s="236"/>
      <c r="T63" s="234"/>
      <c r="U63" s="234"/>
      <c r="V63" s="234"/>
      <c r="W63" s="234"/>
      <c r="X63" s="237"/>
      <c r="Y63" s="238"/>
      <c r="Z63" s="236"/>
      <c r="AA63" s="236"/>
      <c r="AB63" s="183"/>
      <c r="AC63" s="183"/>
      <c r="AD63" s="183"/>
      <c r="AE63" s="183"/>
      <c r="AF63" s="183"/>
      <c r="AG63" s="183"/>
      <c r="AH63" s="183"/>
      <c r="AI63" s="183"/>
      <c r="AJ63" s="183"/>
      <c r="AK63" s="184"/>
      <c r="AL63" s="185"/>
      <c r="AM63" s="186" t="str">
        <f t="shared" si="7"/>
        <v/>
      </c>
      <c r="AN63" s="187"/>
      <c r="AO63" s="77" t="str">
        <f t="array" ref="AO63">INDEX(R_Proy__ObjEsp,MATCH(E63,L_Proy,0))</f>
        <v>#N/A</v>
      </c>
      <c r="AP63" s="78"/>
      <c r="AQ63" s="78"/>
      <c r="AR63" s="151"/>
      <c r="AS63" s="78" t="str">
        <f t="array" ref="AS63">INDEX(R_ObjEsp__Prod,MATCH(H63,L_ObjEsp,0))</f>
        <v>#N/A</v>
      </c>
      <c r="AT63" s="188"/>
      <c r="AU63" s="188"/>
      <c r="AV63" s="188"/>
      <c r="AW63" s="188"/>
      <c r="AX63" s="151"/>
      <c r="AY63" s="78" t="str">
        <f t="array" ref="AY63">INDEX(R_Pro__Act,MATCH(I63,L_Prod,0))</f>
        <v>#N/A</v>
      </c>
      <c r="AZ63" s="188"/>
      <c r="BA63" s="188"/>
      <c r="BB63" s="188"/>
      <c r="BC63" s="188"/>
      <c r="BD63" s="188"/>
      <c r="BE63" s="151"/>
      <c r="BF63" s="151"/>
      <c r="BG63" s="151"/>
      <c r="BH63" s="151"/>
      <c r="BI63" s="151"/>
      <c r="BJ63" s="151"/>
      <c r="BK63" s="151"/>
      <c r="BL63" s="151"/>
      <c r="BM63" s="151"/>
    </row>
    <row r="64" ht="67.5" customHeight="1">
      <c r="A64" s="143"/>
      <c r="B64" s="169">
        <v>86.0</v>
      </c>
      <c r="C64" s="230"/>
      <c r="D64" s="171"/>
      <c r="E64" s="172"/>
      <c r="F64" s="173" t="str">
        <f>IF(ISBLANK(E64),"",VLOOKUP(E64,R_Inf_Proy,2,0))</f>
        <v/>
      </c>
      <c r="G64" s="173" t="str">
        <f>IF(ISBLANK(E64),"",VLOOKUP(E64,R_Inf_Proy,3,0))</f>
        <v/>
      </c>
      <c r="H64" s="231"/>
      <c r="I64" s="231"/>
      <c r="J64" s="231"/>
      <c r="K64" s="175"/>
      <c r="L64" s="232"/>
      <c r="M64" s="232"/>
      <c r="N64" s="233"/>
      <c r="O64" s="191"/>
      <c r="P64" s="234"/>
      <c r="Q64" s="235"/>
      <c r="R64" s="236"/>
      <c r="S64" s="236"/>
      <c r="T64" s="234"/>
      <c r="U64" s="234"/>
      <c r="V64" s="234"/>
      <c r="W64" s="234"/>
      <c r="X64" s="237"/>
      <c r="Y64" s="238"/>
      <c r="Z64" s="236"/>
      <c r="AA64" s="236"/>
      <c r="AB64" s="183"/>
      <c r="AC64" s="183"/>
      <c r="AD64" s="183"/>
      <c r="AE64" s="183"/>
      <c r="AF64" s="183"/>
      <c r="AG64" s="183"/>
      <c r="AH64" s="183"/>
      <c r="AI64" s="183"/>
      <c r="AJ64" s="183"/>
      <c r="AK64" s="184"/>
      <c r="AL64" s="185"/>
      <c r="AM64" s="186" t="str">
        <f t="shared" si="7"/>
        <v/>
      </c>
      <c r="AN64" s="187"/>
      <c r="AO64" s="77" t="str">
        <f t="array" ref="AO64">INDEX(R_Proy__ObjEsp,MATCH(E64,L_Proy,0))</f>
        <v>#N/A</v>
      </c>
      <c r="AP64" s="78"/>
      <c r="AQ64" s="78"/>
      <c r="AR64" s="151"/>
      <c r="AS64" s="78" t="str">
        <f t="array" ref="AS64">INDEX(R_ObjEsp__Prod,MATCH(H64,L_ObjEsp,0))</f>
        <v>#N/A</v>
      </c>
      <c r="AT64" s="188"/>
      <c r="AU64" s="188"/>
      <c r="AV64" s="188"/>
      <c r="AW64" s="188"/>
      <c r="AX64" s="151"/>
      <c r="AY64" s="78" t="str">
        <f t="array" ref="AY64">INDEX(R_Pro__Act,MATCH(I64,L_Prod,0))</f>
        <v>#N/A</v>
      </c>
      <c r="AZ64" s="188"/>
      <c r="BA64" s="188"/>
      <c r="BB64" s="188"/>
      <c r="BC64" s="188"/>
      <c r="BD64" s="188"/>
      <c r="BE64" s="151"/>
      <c r="BF64" s="151"/>
      <c r="BG64" s="151"/>
      <c r="BH64" s="151"/>
      <c r="BI64" s="151"/>
      <c r="BJ64" s="151"/>
      <c r="BK64" s="151"/>
      <c r="BL64" s="151"/>
      <c r="BM64" s="151"/>
    </row>
    <row r="65" ht="67.5" customHeight="1">
      <c r="A65" s="143"/>
      <c r="B65" s="169">
        <v>87.0</v>
      </c>
      <c r="C65" s="230"/>
      <c r="D65" s="171"/>
      <c r="E65" s="172"/>
      <c r="F65" s="173" t="str">
        <f>IF(ISBLANK(E65),"",VLOOKUP(E65,R_Inf_Proy,2,0))</f>
        <v/>
      </c>
      <c r="G65" s="173" t="str">
        <f>IF(ISBLANK(E65),"",VLOOKUP(E65,R_Inf_Proy,3,0))</f>
        <v/>
      </c>
      <c r="H65" s="231"/>
      <c r="I65" s="231"/>
      <c r="J65" s="231"/>
      <c r="K65" s="175"/>
      <c r="L65" s="232"/>
      <c r="M65" s="232"/>
      <c r="N65" s="233"/>
      <c r="O65" s="191"/>
      <c r="P65" s="234"/>
      <c r="Q65" s="235"/>
      <c r="R65" s="236"/>
      <c r="S65" s="236"/>
      <c r="T65" s="234"/>
      <c r="U65" s="234"/>
      <c r="V65" s="234"/>
      <c r="W65" s="234"/>
      <c r="X65" s="237"/>
      <c r="Y65" s="238"/>
      <c r="Z65" s="236"/>
      <c r="AA65" s="236"/>
      <c r="AB65" s="183"/>
      <c r="AC65" s="183"/>
      <c r="AD65" s="183"/>
      <c r="AE65" s="183"/>
      <c r="AF65" s="183"/>
      <c r="AG65" s="183"/>
      <c r="AH65" s="183"/>
      <c r="AI65" s="183"/>
      <c r="AJ65" s="183"/>
      <c r="AK65" s="184"/>
      <c r="AL65" s="185"/>
      <c r="AM65" s="186" t="str">
        <f t="shared" si="7"/>
        <v/>
      </c>
      <c r="AN65" s="187"/>
      <c r="AO65" s="77" t="str">
        <f t="array" ref="AO65">INDEX(R_Proy__ObjEsp,MATCH(E65,L_Proy,0))</f>
        <v>#N/A</v>
      </c>
      <c r="AP65" s="78"/>
      <c r="AQ65" s="78"/>
      <c r="AR65" s="151"/>
      <c r="AS65" s="78" t="str">
        <f t="array" ref="AS65">INDEX(R_ObjEsp__Prod,MATCH(H65,L_ObjEsp,0))</f>
        <v>#N/A</v>
      </c>
      <c r="AT65" s="188"/>
      <c r="AU65" s="188"/>
      <c r="AV65" s="188"/>
      <c r="AW65" s="188"/>
      <c r="AX65" s="151"/>
      <c r="AY65" s="78" t="str">
        <f t="array" ref="AY65">INDEX(R_Pro__Act,MATCH(I65,L_Prod,0))</f>
        <v>#N/A</v>
      </c>
      <c r="AZ65" s="188"/>
      <c r="BA65" s="188"/>
      <c r="BB65" s="188"/>
      <c r="BC65" s="188"/>
      <c r="BD65" s="188"/>
      <c r="BE65" s="151"/>
      <c r="BF65" s="151"/>
      <c r="BG65" s="151"/>
      <c r="BH65" s="151"/>
      <c r="BI65" s="151"/>
      <c r="BJ65" s="151"/>
      <c r="BK65" s="151"/>
      <c r="BL65" s="151"/>
      <c r="BM65" s="151"/>
    </row>
    <row r="66" ht="67.5" customHeight="1">
      <c r="A66" s="143"/>
      <c r="B66" s="169">
        <v>88.0</v>
      </c>
      <c r="C66" s="230"/>
      <c r="D66" s="171"/>
      <c r="E66" s="172"/>
      <c r="F66" s="173" t="str">
        <f>IF(ISBLANK(E66),"",VLOOKUP(E66,R_Inf_Proy,2,0))</f>
        <v/>
      </c>
      <c r="G66" s="173" t="str">
        <f>IF(ISBLANK(E66),"",VLOOKUP(E66,R_Inf_Proy,3,0))</f>
        <v/>
      </c>
      <c r="H66" s="231"/>
      <c r="I66" s="231"/>
      <c r="J66" s="231"/>
      <c r="K66" s="175"/>
      <c r="L66" s="232"/>
      <c r="M66" s="232"/>
      <c r="N66" s="233"/>
      <c r="O66" s="191"/>
      <c r="P66" s="234"/>
      <c r="Q66" s="235"/>
      <c r="R66" s="236"/>
      <c r="S66" s="236"/>
      <c r="T66" s="234"/>
      <c r="U66" s="234"/>
      <c r="V66" s="234"/>
      <c r="W66" s="234"/>
      <c r="X66" s="237"/>
      <c r="Y66" s="238"/>
      <c r="Z66" s="236"/>
      <c r="AA66" s="236"/>
      <c r="AB66" s="183"/>
      <c r="AC66" s="183"/>
      <c r="AD66" s="183"/>
      <c r="AE66" s="183"/>
      <c r="AF66" s="183"/>
      <c r="AG66" s="183"/>
      <c r="AH66" s="183"/>
      <c r="AI66" s="183"/>
      <c r="AJ66" s="183"/>
      <c r="AK66" s="184"/>
      <c r="AL66" s="185"/>
      <c r="AM66" s="186" t="str">
        <f t="shared" si="7"/>
        <v/>
      </c>
      <c r="AN66" s="187"/>
      <c r="AO66" s="77" t="str">
        <f t="array" ref="AO66">INDEX(R_Proy__ObjEsp,MATCH(E66,L_Proy,0))</f>
        <v>#N/A</v>
      </c>
      <c r="AP66" s="78"/>
      <c r="AQ66" s="78"/>
      <c r="AR66" s="151"/>
      <c r="AS66" s="78" t="str">
        <f t="array" ref="AS66">INDEX(R_ObjEsp__Prod,MATCH(H66,L_ObjEsp,0))</f>
        <v>#N/A</v>
      </c>
      <c r="AT66" s="188"/>
      <c r="AU66" s="188"/>
      <c r="AV66" s="188"/>
      <c r="AW66" s="188"/>
      <c r="AX66" s="151"/>
      <c r="AY66" s="78" t="str">
        <f t="array" ref="AY66">INDEX(R_Pro__Act,MATCH(I66,L_Prod,0))</f>
        <v>#N/A</v>
      </c>
      <c r="AZ66" s="188"/>
      <c r="BA66" s="188"/>
      <c r="BB66" s="188"/>
      <c r="BC66" s="188"/>
      <c r="BD66" s="188"/>
      <c r="BE66" s="151"/>
      <c r="BF66" s="151"/>
      <c r="BG66" s="151"/>
      <c r="BH66" s="151"/>
      <c r="BI66" s="151"/>
      <c r="BJ66" s="151"/>
      <c r="BK66" s="151"/>
      <c r="BL66" s="151"/>
      <c r="BM66" s="151"/>
    </row>
    <row r="67" ht="67.5" customHeight="1">
      <c r="A67" s="143"/>
      <c r="B67" s="169">
        <v>89.0</v>
      </c>
      <c r="C67" s="230"/>
      <c r="D67" s="171"/>
      <c r="E67" s="172"/>
      <c r="F67" s="173" t="str">
        <f>IF(ISBLANK(E67),"",VLOOKUP(E67,R_Inf_Proy,2,0))</f>
        <v/>
      </c>
      <c r="G67" s="173" t="str">
        <f>IF(ISBLANK(E67),"",VLOOKUP(E67,R_Inf_Proy,3,0))</f>
        <v/>
      </c>
      <c r="H67" s="231"/>
      <c r="I67" s="231"/>
      <c r="J67" s="231"/>
      <c r="K67" s="175"/>
      <c r="L67" s="232"/>
      <c r="M67" s="232"/>
      <c r="N67" s="233"/>
      <c r="O67" s="191"/>
      <c r="P67" s="234"/>
      <c r="Q67" s="235"/>
      <c r="R67" s="236"/>
      <c r="S67" s="236"/>
      <c r="T67" s="234"/>
      <c r="U67" s="234"/>
      <c r="V67" s="234"/>
      <c r="W67" s="234"/>
      <c r="X67" s="237"/>
      <c r="Y67" s="238"/>
      <c r="Z67" s="236"/>
      <c r="AA67" s="236"/>
      <c r="AB67" s="183"/>
      <c r="AC67" s="183"/>
      <c r="AD67" s="183"/>
      <c r="AE67" s="183"/>
      <c r="AF67" s="183"/>
      <c r="AG67" s="183"/>
      <c r="AH67" s="183"/>
      <c r="AI67" s="183"/>
      <c r="AJ67" s="183"/>
      <c r="AK67" s="184"/>
      <c r="AL67" s="185"/>
      <c r="AM67" s="186" t="str">
        <f t="shared" si="7"/>
        <v/>
      </c>
      <c r="AN67" s="187"/>
      <c r="AO67" s="77" t="str">
        <f t="array" ref="AO67">INDEX(R_Proy__ObjEsp,MATCH(E67,L_Proy,0))</f>
        <v>#N/A</v>
      </c>
      <c r="AP67" s="78"/>
      <c r="AQ67" s="78"/>
      <c r="AR67" s="151"/>
      <c r="AS67" s="78" t="str">
        <f t="array" ref="AS67">INDEX(R_ObjEsp__Prod,MATCH(H67,L_ObjEsp,0))</f>
        <v>#N/A</v>
      </c>
      <c r="AT67" s="188"/>
      <c r="AU67" s="188"/>
      <c r="AV67" s="188"/>
      <c r="AW67" s="188"/>
      <c r="AX67" s="151"/>
      <c r="AY67" s="78" t="str">
        <f t="array" ref="AY67">INDEX(R_Pro__Act,MATCH(I67,L_Prod,0))</f>
        <v>#N/A</v>
      </c>
      <c r="AZ67" s="188"/>
      <c r="BA67" s="188"/>
      <c r="BB67" s="188"/>
      <c r="BC67" s="188"/>
      <c r="BD67" s="188"/>
      <c r="BE67" s="151"/>
      <c r="BF67" s="151"/>
      <c r="BG67" s="151"/>
      <c r="BH67" s="151"/>
      <c r="BI67" s="151"/>
      <c r="BJ67" s="151"/>
      <c r="BK67" s="151"/>
      <c r="BL67" s="151"/>
      <c r="BM67" s="151"/>
    </row>
    <row r="68" ht="67.5" customHeight="1">
      <c r="A68" s="143"/>
      <c r="B68" s="169">
        <v>90.0</v>
      </c>
      <c r="C68" s="230"/>
      <c r="D68" s="171"/>
      <c r="E68" s="172"/>
      <c r="F68" s="173" t="str">
        <f>IF(ISBLANK(E68),"",VLOOKUP(E68,R_Inf_Proy,2,0))</f>
        <v/>
      </c>
      <c r="G68" s="173" t="str">
        <f>IF(ISBLANK(E68),"",VLOOKUP(E68,R_Inf_Proy,3,0))</f>
        <v/>
      </c>
      <c r="H68" s="231"/>
      <c r="I68" s="231"/>
      <c r="J68" s="231"/>
      <c r="K68" s="175"/>
      <c r="L68" s="232"/>
      <c r="M68" s="232"/>
      <c r="N68" s="233"/>
      <c r="O68" s="191"/>
      <c r="P68" s="234"/>
      <c r="Q68" s="235"/>
      <c r="R68" s="236"/>
      <c r="S68" s="236"/>
      <c r="T68" s="234"/>
      <c r="U68" s="234"/>
      <c r="V68" s="234"/>
      <c r="W68" s="234"/>
      <c r="X68" s="237"/>
      <c r="Y68" s="238"/>
      <c r="Z68" s="236"/>
      <c r="AA68" s="236"/>
      <c r="AB68" s="183"/>
      <c r="AC68" s="183"/>
      <c r="AD68" s="183"/>
      <c r="AE68" s="183"/>
      <c r="AF68" s="183"/>
      <c r="AG68" s="183"/>
      <c r="AH68" s="183"/>
      <c r="AI68" s="183"/>
      <c r="AJ68" s="183"/>
      <c r="AK68" s="184"/>
      <c r="AL68" s="185"/>
      <c r="AM68" s="186" t="str">
        <f t="shared" si="7"/>
        <v/>
      </c>
      <c r="AN68" s="187"/>
      <c r="AO68" s="77" t="str">
        <f t="array" ref="AO68">INDEX(R_Proy__ObjEsp,MATCH(E68,L_Proy,0))</f>
        <v>#N/A</v>
      </c>
      <c r="AP68" s="78"/>
      <c r="AQ68" s="78"/>
      <c r="AR68" s="151"/>
      <c r="AS68" s="78" t="str">
        <f t="array" ref="AS68">INDEX(R_ObjEsp__Prod,MATCH(H68,L_ObjEsp,0))</f>
        <v>#N/A</v>
      </c>
      <c r="AT68" s="188"/>
      <c r="AU68" s="188"/>
      <c r="AV68" s="188"/>
      <c r="AW68" s="188"/>
      <c r="AX68" s="151"/>
      <c r="AY68" s="78" t="str">
        <f t="array" ref="AY68">INDEX(R_Pro__Act,MATCH(I68,L_Prod,0))</f>
        <v>#N/A</v>
      </c>
      <c r="AZ68" s="188"/>
      <c r="BA68" s="188"/>
      <c r="BB68" s="188"/>
      <c r="BC68" s="188"/>
      <c r="BD68" s="188"/>
      <c r="BE68" s="151"/>
      <c r="BF68" s="151"/>
      <c r="BG68" s="151"/>
      <c r="BH68" s="151"/>
      <c r="BI68" s="151"/>
      <c r="BJ68" s="151"/>
      <c r="BK68" s="151"/>
      <c r="BL68" s="151"/>
      <c r="BM68" s="151"/>
    </row>
    <row r="69" ht="67.5" customHeight="1">
      <c r="A69" s="143"/>
      <c r="B69" s="169">
        <v>91.0</v>
      </c>
      <c r="C69" s="230"/>
      <c r="D69" s="171"/>
      <c r="E69" s="172"/>
      <c r="F69" s="173" t="str">
        <f>IF(ISBLANK(E69),"",VLOOKUP(E69,R_Inf_Proy,2,0))</f>
        <v/>
      </c>
      <c r="G69" s="173" t="str">
        <f>IF(ISBLANK(E69),"",VLOOKUP(E69,R_Inf_Proy,3,0))</f>
        <v/>
      </c>
      <c r="H69" s="231"/>
      <c r="I69" s="231"/>
      <c r="J69" s="231"/>
      <c r="K69" s="175"/>
      <c r="L69" s="232"/>
      <c r="M69" s="232"/>
      <c r="N69" s="233"/>
      <c r="O69" s="191"/>
      <c r="P69" s="234"/>
      <c r="Q69" s="235"/>
      <c r="R69" s="236"/>
      <c r="S69" s="236"/>
      <c r="T69" s="234"/>
      <c r="U69" s="234"/>
      <c r="V69" s="234"/>
      <c r="W69" s="234"/>
      <c r="X69" s="237"/>
      <c r="Y69" s="238"/>
      <c r="Z69" s="236"/>
      <c r="AA69" s="236"/>
      <c r="AB69" s="183"/>
      <c r="AC69" s="183"/>
      <c r="AD69" s="183"/>
      <c r="AE69" s="183"/>
      <c r="AF69" s="183"/>
      <c r="AG69" s="183"/>
      <c r="AH69" s="183"/>
      <c r="AI69" s="183"/>
      <c r="AJ69" s="183"/>
      <c r="AK69" s="184"/>
      <c r="AL69" s="185"/>
      <c r="AM69" s="186" t="str">
        <f t="shared" si="7"/>
        <v/>
      </c>
      <c r="AN69" s="187"/>
      <c r="AO69" s="77" t="str">
        <f t="array" ref="AO69">INDEX(R_Proy__ObjEsp,MATCH(E69,L_Proy,0))</f>
        <v>#N/A</v>
      </c>
      <c r="AP69" s="78"/>
      <c r="AQ69" s="78"/>
      <c r="AR69" s="151"/>
      <c r="AS69" s="78" t="str">
        <f t="array" ref="AS69">INDEX(R_ObjEsp__Prod,MATCH(H69,L_ObjEsp,0))</f>
        <v>#N/A</v>
      </c>
      <c r="AT69" s="188"/>
      <c r="AU69" s="188"/>
      <c r="AV69" s="188"/>
      <c r="AW69" s="188"/>
      <c r="AX69" s="151"/>
      <c r="AY69" s="78" t="str">
        <f t="array" ref="AY69">INDEX(R_Pro__Act,MATCH(I69,L_Prod,0))</f>
        <v>#N/A</v>
      </c>
      <c r="AZ69" s="188"/>
      <c r="BA69" s="188"/>
      <c r="BB69" s="188"/>
      <c r="BC69" s="188"/>
      <c r="BD69" s="188"/>
      <c r="BE69" s="151"/>
      <c r="BF69" s="151"/>
      <c r="BG69" s="151"/>
      <c r="BH69" s="151"/>
      <c r="BI69" s="151"/>
      <c r="BJ69" s="151"/>
      <c r="BK69" s="151"/>
      <c r="BL69" s="151"/>
      <c r="BM69" s="151"/>
    </row>
    <row r="70" ht="67.5" customHeight="1">
      <c r="A70" s="143"/>
      <c r="B70" s="169">
        <v>92.0</v>
      </c>
      <c r="C70" s="230"/>
      <c r="D70" s="171"/>
      <c r="E70" s="172"/>
      <c r="F70" s="173" t="str">
        <f>IF(ISBLANK(E70),"",VLOOKUP(E70,R_Inf_Proy,2,0))</f>
        <v/>
      </c>
      <c r="G70" s="173" t="str">
        <f>IF(ISBLANK(E70),"",VLOOKUP(E70,R_Inf_Proy,3,0))</f>
        <v/>
      </c>
      <c r="H70" s="231"/>
      <c r="I70" s="231"/>
      <c r="J70" s="231"/>
      <c r="K70" s="175"/>
      <c r="L70" s="232"/>
      <c r="M70" s="232"/>
      <c r="N70" s="233"/>
      <c r="O70" s="191"/>
      <c r="P70" s="234"/>
      <c r="Q70" s="235"/>
      <c r="R70" s="236"/>
      <c r="S70" s="236"/>
      <c r="T70" s="234"/>
      <c r="U70" s="234"/>
      <c r="V70" s="234"/>
      <c r="W70" s="234"/>
      <c r="X70" s="237"/>
      <c r="Y70" s="238"/>
      <c r="Z70" s="236"/>
      <c r="AA70" s="236"/>
      <c r="AB70" s="183"/>
      <c r="AC70" s="183"/>
      <c r="AD70" s="183"/>
      <c r="AE70" s="183"/>
      <c r="AF70" s="183"/>
      <c r="AG70" s="183"/>
      <c r="AH70" s="183"/>
      <c r="AI70" s="183"/>
      <c r="AJ70" s="183"/>
      <c r="AK70" s="184"/>
      <c r="AL70" s="185"/>
      <c r="AM70" s="186" t="str">
        <f t="shared" si="7"/>
        <v/>
      </c>
      <c r="AN70" s="187"/>
      <c r="AO70" s="77" t="str">
        <f t="array" ref="AO70">INDEX(R_Proy__ObjEsp,MATCH(E70,L_Proy,0))</f>
        <v>#N/A</v>
      </c>
      <c r="AP70" s="78"/>
      <c r="AQ70" s="78"/>
      <c r="AR70" s="151"/>
      <c r="AS70" s="78" t="str">
        <f t="array" ref="AS70">INDEX(R_ObjEsp__Prod,MATCH(H70,L_ObjEsp,0))</f>
        <v>#N/A</v>
      </c>
      <c r="AT70" s="188"/>
      <c r="AU70" s="188"/>
      <c r="AV70" s="188"/>
      <c r="AW70" s="188"/>
      <c r="AX70" s="151"/>
      <c r="AY70" s="78" t="str">
        <f t="array" ref="AY70">INDEX(R_Pro__Act,MATCH(I70,L_Prod,0))</f>
        <v>#N/A</v>
      </c>
      <c r="AZ70" s="188"/>
      <c r="BA70" s="188"/>
      <c r="BB70" s="188"/>
      <c r="BC70" s="188"/>
      <c r="BD70" s="188"/>
      <c r="BE70" s="151"/>
      <c r="BF70" s="151"/>
      <c r="BG70" s="151"/>
      <c r="BH70" s="151"/>
      <c r="BI70" s="151"/>
      <c r="BJ70" s="151"/>
      <c r="BK70" s="151"/>
      <c r="BL70" s="151"/>
      <c r="BM70" s="151"/>
    </row>
    <row r="71" ht="67.5" customHeight="1">
      <c r="A71" s="143"/>
      <c r="B71" s="169">
        <v>93.0</v>
      </c>
      <c r="C71" s="230"/>
      <c r="D71" s="171"/>
      <c r="E71" s="172"/>
      <c r="F71" s="173" t="str">
        <f>IF(ISBLANK(E71),"",VLOOKUP(E71,R_Inf_Proy,2,0))</f>
        <v/>
      </c>
      <c r="G71" s="173" t="str">
        <f>IF(ISBLANK(E71),"",VLOOKUP(E71,R_Inf_Proy,3,0))</f>
        <v/>
      </c>
      <c r="H71" s="231"/>
      <c r="I71" s="231"/>
      <c r="J71" s="231"/>
      <c r="K71" s="175"/>
      <c r="L71" s="232"/>
      <c r="M71" s="232"/>
      <c r="N71" s="233"/>
      <c r="O71" s="191"/>
      <c r="P71" s="234"/>
      <c r="Q71" s="235"/>
      <c r="R71" s="236"/>
      <c r="S71" s="236"/>
      <c r="T71" s="234"/>
      <c r="U71" s="234"/>
      <c r="V71" s="234"/>
      <c r="W71" s="234"/>
      <c r="X71" s="237"/>
      <c r="Y71" s="238"/>
      <c r="Z71" s="236"/>
      <c r="AA71" s="236"/>
      <c r="AB71" s="183"/>
      <c r="AC71" s="183"/>
      <c r="AD71" s="183"/>
      <c r="AE71" s="183"/>
      <c r="AF71" s="183"/>
      <c r="AG71" s="183"/>
      <c r="AH71" s="183"/>
      <c r="AI71" s="183"/>
      <c r="AJ71" s="183"/>
      <c r="AK71" s="184"/>
      <c r="AL71" s="185"/>
      <c r="AM71" s="186" t="str">
        <f t="shared" si="7"/>
        <v/>
      </c>
      <c r="AN71" s="187"/>
      <c r="AO71" s="77" t="str">
        <f t="array" ref="AO71">INDEX(R_Proy__ObjEsp,MATCH(E71,L_Proy,0))</f>
        <v>#N/A</v>
      </c>
      <c r="AP71" s="78"/>
      <c r="AQ71" s="78"/>
      <c r="AR71" s="151"/>
      <c r="AS71" s="78" t="str">
        <f t="array" ref="AS71">INDEX(R_ObjEsp__Prod,MATCH(H71,L_ObjEsp,0))</f>
        <v>#N/A</v>
      </c>
      <c r="AT71" s="188"/>
      <c r="AU71" s="188"/>
      <c r="AV71" s="188"/>
      <c r="AW71" s="188"/>
      <c r="AX71" s="151"/>
      <c r="AY71" s="78" t="str">
        <f t="array" ref="AY71">INDEX(R_Pro__Act,MATCH(I71,L_Prod,0))</f>
        <v>#N/A</v>
      </c>
      <c r="AZ71" s="188"/>
      <c r="BA71" s="188"/>
      <c r="BB71" s="188"/>
      <c r="BC71" s="188"/>
      <c r="BD71" s="188"/>
      <c r="BE71" s="151"/>
      <c r="BF71" s="151"/>
      <c r="BG71" s="151"/>
      <c r="BH71" s="151"/>
      <c r="BI71" s="151"/>
      <c r="BJ71" s="151"/>
      <c r="BK71" s="151"/>
      <c r="BL71" s="151"/>
      <c r="BM71" s="151"/>
    </row>
    <row r="72" ht="67.5" customHeight="1">
      <c r="A72" s="143"/>
      <c r="B72" s="169">
        <v>94.0</v>
      </c>
      <c r="C72" s="230"/>
      <c r="D72" s="171"/>
      <c r="E72" s="172"/>
      <c r="F72" s="173" t="str">
        <f>IF(ISBLANK(E72),"",VLOOKUP(E72,R_Inf_Proy,2,0))</f>
        <v/>
      </c>
      <c r="G72" s="173" t="str">
        <f>IF(ISBLANK(E72),"",VLOOKUP(E72,R_Inf_Proy,3,0))</f>
        <v/>
      </c>
      <c r="H72" s="231"/>
      <c r="I72" s="231"/>
      <c r="J72" s="231"/>
      <c r="K72" s="175"/>
      <c r="L72" s="232"/>
      <c r="M72" s="232"/>
      <c r="N72" s="233"/>
      <c r="O72" s="191"/>
      <c r="P72" s="234"/>
      <c r="Q72" s="235"/>
      <c r="R72" s="236"/>
      <c r="S72" s="236"/>
      <c r="T72" s="234"/>
      <c r="U72" s="234"/>
      <c r="V72" s="234"/>
      <c r="W72" s="234"/>
      <c r="X72" s="237"/>
      <c r="Y72" s="238"/>
      <c r="Z72" s="236"/>
      <c r="AA72" s="236"/>
      <c r="AB72" s="183"/>
      <c r="AC72" s="183"/>
      <c r="AD72" s="183"/>
      <c r="AE72" s="183"/>
      <c r="AF72" s="183"/>
      <c r="AG72" s="183"/>
      <c r="AH72" s="183"/>
      <c r="AI72" s="183"/>
      <c r="AJ72" s="183"/>
      <c r="AK72" s="184"/>
      <c r="AL72" s="185"/>
      <c r="AM72" s="186" t="str">
        <f t="shared" si="7"/>
        <v/>
      </c>
      <c r="AN72" s="187"/>
      <c r="AO72" s="77" t="str">
        <f t="array" ref="AO72">INDEX(R_Proy__ObjEsp,MATCH(E72,L_Proy,0))</f>
        <v>#N/A</v>
      </c>
      <c r="AP72" s="78"/>
      <c r="AQ72" s="78"/>
      <c r="AR72" s="151"/>
      <c r="AS72" s="78" t="str">
        <f t="array" ref="AS72">INDEX(R_ObjEsp__Prod,MATCH(H72,L_ObjEsp,0))</f>
        <v>#N/A</v>
      </c>
      <c r="AT72" s="188"/>
      <c r="AU72" s="188"/>
      <c r="AV72" s="188"/>
      <c r="AW72" s="188"/>
      <c r="AX72" s="151"/>
      <c r="AY72" s="78" t="str">
        <f t="array" ref="AY72">INDEX(R_Pro__Act,MATCH(I72,L_Prod,0))</f>
        <v>#N/A</v>
      </c>
      <c r="AZ72" s="188"/>
      <c r="BA72" s="188"/>
      <c r="BB72" s="188"/>
      <c r="BC72" s="188"/>
      <c r="BD72" s="188"/>
      <c r="BE72" s="151"/>
      <c r="BF72" s="151"/>
      <c r="BG72" s="151"/>
      <c r="BH72" s="151"/>
      <c r="BI72" s="151"/>
      <c r="BJ72" s="151"/>
      <c r="BK72" s="151"/>
      <c r="BL72" s="151"/>
      <c r="BM72" s="151"/>
    </row>
    <row r="73" ht="67.5" customHeight="1">
      <c r="A73" s="143"/>
      <c r="B73" s="169">
        <v>95.0</v>
      </c>
      <c r="C73" s="230"/>
      <c r="D73" s="171"/>
      <c r="E73" s="172"/>
      <c r="F73" s="173" t="str">
        <f>IF(ISBLANK(E73),"",VLOOKUP(E73,R_Inf_Proy,2,0))</f>
        <v/>
      </c>
      <c r="G73" s="173" t="str">
        <f>IF(ISBLANK(E73),"",VLOOKUP(E73,R_Inf_Proy,3,0))</f>
        <v/>
      </c>
      <c r="H73" s="231"/>
      <c r="I73" s="231"/>
      <c r="J73" s="231"/>
      <c r="K73" s="175"/>
      <c r="L73" s="232"/>
      <c r="M73" s="232"/>
      <c r="N73" s="233"/>
      <c r="O73" s="191"/>
      <c r="P73" s="234"/>
      <c r="Q73" s="235"/>
      <c r="R73" s="236"/>
      <c r="S73" s="236"/>
      <c r="T73" s="234"/>
      <c r="U73" s="234"/>
      <c r="V73" s="234"/>
      <c r="W73" s="234"/>
      <c r="X73" s="237"/>
      <c r="Y73" s="238"/>
      <c r="Z73" s="236"/>
      <c r="AA73" s="236"/>
      <c r="AB73" s="183"/>
      <c r="AC73" s="183"/>
      <c r="AD73" s="183"/>
      <c r="AE73" s="183"/>
      <c r="AF73" s="183"/>
      <c r="AG73" s="183"/>
      <c r="AH73" s="183"/>
      <c r="AI73" s="183"/>
      <c r="AJ73" s="183"/>
      <c r="AK73" s="184"/>
      <c r="AL73" s="185"/>
      <c r="AM73" s="186" t="str">
        <f t="shared" si="7"/>
        <v/>
      </c>
      <c r="AN73" s="187"/>
      <c r="AO73" s="77" t="str">
        <f t="array" ref="AO73">INDEX(R_Proy__ObjEsp,MATCH(E73,L_Proy,0))</f>
        <v>#N/A</v>
      </c>
      <c r="AP73" s="78"/>
      <c r="AQ73" s="78"/>
      <c r="AR73" s="151"/>
      <c r="AS73" s="78" t="str">
        <f t="array" ref="AS73">INDEX(R_ObjEsp__Prod,MATCH(H73,L_ObjEsp,0))</f>
        <v>#N/A</v>
      </c>
      <c r="AT73" s="188"/>
      <c r="AU73" s="188"/>
      <c r="AV73" s="188"/>
      <c r="AW73" s="188"/>
      <c r="AX73" s="151"/>
      <c r="AY73" s="78" t="str">
        <f t="array" ref="AY73">INDEX(R_Pro__Act,MATCH(I73,L_Prod,0))</f>
        <v>#N/A</v>
      </c>
      <c r="AZ73" s="188"/>
      <c r="BA73" s="188"/>
      <c r="BB73" s="188"/>
      <c r="BC73" s="188"/>
      <c r="BD73" s="188"/>
      <c r="BE73" s="151"/>
      <c r="BF73" s="151"/>
      <c r="BG73" s="151"/>
      <c r="BH73" s="151"/>
      <c r="BI73" s="151"/>
      <c r="BJ73" s="151"/>
      <c r="BK73" s="151"/>
      <c r="BL73" s="151"/>
      <c r="BM73" s="151"/>
    </row>
    <row r="74" ht="67.5" customHeight="1">
      <c r="A74" s="143"/>
      <c r="B74" s="169">
        <v>96.0</v>
      </c>
      <c r="C74" s="230"/>
      <c r="D74" s="171"/>
      <c r="E74" s="172"/>
      <c r="F74" s="173" t="str">
        <f>IF(ISBLANK(E74),"",VLOOKUP(E74,R_Inf_Proy,2,0))</f>
        <v/>
      </c>
      <c r="G74" s="173" t="str">
        <f>IF(ISBLANK(E74),"",VLOOKUP(E74,R_Inf_Proy,3,0))</f>
        <v/>
      </c>
      <c r="H74" s="231"/>
      <c r="I74" s="231"/>
      <c r="J74" s="231"/>
      <c r="K74" s="175"/>
      <c r="L74" s="232"/>
      <c r="M74" s="232"/>
      <c r="N74" s="233"/>
      <c r="O74" s="191"/>
      <c r="P74" s="234"/>
      <c r="Q74" s="235"/>
      <c r="R74" s="236"/>
      <c r="S74" s="236"/>
      <c r="T74" s="234"/>
      <c r="U74" s="234"/>
      <c r="V74" s="234"/>
      <c r="W74" s="234"/>
      <c r="X74" s="237"/>
      <c r="Y74" s="238"/>
      <c r="Z74" s="236"/>
      <c r="AA74" s="236"/>
      <c r="AB74" s="183"/>
      <c r="AC74" s="183"/>
      <c r="AD74" s="183"/>
      <c r="AE74" s="183"/>
      <c r="AF74" s="183"/>
      <c r="AG74" s="183"/>
      <c r="AH74" s="183"/>
      <c r="AI74" s="183"/>
      <c r="AJ74" s="183"/>
      <c r="AK74" s="184"/>
      <c r="AL74" s="185"/>
      <c r="AM74" s="186" t="str">
        <f t="shared" si="7"/>
        <v/>
      </c>
      <c r="AN74" s="187"/>
      <c r="AO74" s="77" t="str">
        <f t="array" ref="AO74">INDEX(R_Proy__ObjEsp,MATCH(E74,L_Proy,0))</f>
        <v>#N/A</v>
      </c>
      <c r="AP74" s="78"/>
      <c r="AQ74" s="78"/>
      <c r="AR74" s="151"/>
      <c r="AS74" s="78" t="str">
        <f t="array" ref="AS74">INDEX(R_ObjEsp__Prod,MATCH(H74,L_ObjEsp,0))</f>
        <v>#N/A</v>
      </c>
      <c r="AT74" s="188"/>
      <c r="AU74" s="188"/>
      <c r="AV74" s="188"/>
      <c r="AW74" s="188"/>
      <c r="AX74" s="151"/>
      <c r="AY74" s="78" t="str">
        <f t="array" ref="AY74">INDEX(R_Pro__Act,MATCH(I74,L_Prod,0))</f>
        <v>#N/A</v>
      </c>
      <c r="AZ74" s="188"/>
      <c r="BA74" s="188"/>
      <c r="BB74" s="188"/>
      <c r="BC74" s="188"/>
      <c r="BD74" s="188"/>
      <c r="BE74" s="151"/>
      <c r="BF74" s="151"/>
      <c r="BG74" s="151"/>
      <c r="BH74" s="151"/>
      <c r="BI74" s="151"/>
      <c r="BJ74" s="151"/>
      <c r="BK74" s="151"/>
      <c r="BL74" s="151"/>
      <c r="BM74" s="151"/>
    </row>
    <row r="75" ht="67.5" customHeight="1">
      <c r="A75" s="143"/>
      <c r="B75" s="169">
        <v>97.0</v>
      </c>
      <c r="C75" s="230"/>
      <c r="D75" s="171"/>
      <c r="E75" s="172"/>
      <c r="F75" s="173" t="str">
        <f>IF(ISBLANK(E75),"",VLOOKUP(E75,R_Inf_Proy,2,0))</f>
        <v/>
      </c>
      <c r="G75" s="173" t="str">
        <f>IF(ISBLANK(E75),"",VLOOKUP(E75,R_Inf_Proy,3,0))</f>
        <v/>
      </c>
      <c r="H75" s="231"/>
      <c r="I75" s="231"/>
      <c r="J75" s="231"/>
      <c r="K75" s="175"/>
      <c r="L75" s="232"/>
      <c r="M75" s="232"/>
      <c r="N75" s="233" t="str">
        <f>IF(K75="PRODUCTO",RIGHT(VLOOKUP(I75,R_Ind_Prod,2,0),LEN(VLOOKUP(I75,R_Ind_Prod,2,0))-12),IF(K75="GESTIÓN",RIGHT(VLOOKUP(E75,R_Ind_Gest,12,0),LEN(VLOOKUP(E75,R_Ind_Gest,12,0))-11),""))</f>
        <v/>
      </c>
      <c r="O75" s="191"/>
      <c r="P75" s="234"/>
      <c r="Q75" s="235"/>
      <c r="R75" s="236"/>
      <c r="S75" s="236"/>
      <c r="T75" s="234"/>
      <c r="U75" s="234"/>
      <c r="V75" s="234"/>
      <c r="W75" s="234"/>
      <c r="X75" s="237"/>
      <c r="Y75" s="238"/>
      <c r="Z75" s="236"/>
      <c r="AA75" s="236"/>
      <c r="AB75" s="183"/>
      <c r="AC75" s="183"/>
      <c r="AD75" s="183"/>
      <c r="AE75" s="183"/>
      <c r="AF75" s="183"/>
      <c r="AG75" s="183"/>
      <c r="AH75" s="183"/>
      <c r="AI75" s="183"/>
      <c r="AJ75" s="183"/>
      <c r="AK75" s="184"/>
      <c r="AL75" s="185"/>
      <c r="AM75" s="186" t="str">
        <f t="shared" si="7"/>
        <v/>
      </c>
      <c r="AN75" s="187"/>
      <c r="AO75" s="77" t="str">
        <f t="array" ref="AO75">INDEX(R_Proy__ObjEsp,MATCH(E75,L_Proy,0))</f>
        <v>#N/A</v>
      </c>
      <c r="AP75" s="78"/>
      <c r="AQ75" s="78"/>
      <c r="AR75" s="151"/>
      <c r="AS75" s="78" t="str">
        <f t="array" ref="AS75">INDEX(R_ObjEsp__Prod,MATCH(H75,L_ObjEsp,0))</f>
        <v>#N/A</v>
      </c>
      <c r="AT75" s="188"/>
      <c r="AU75" s="188"/>
      <c r="AV75" s="188"/>
      <c r="AW75" s="188"/>
      <c r="AX75" s="151"/>
      <c r="AY75" s="78" t="str">
        <f t="array" ref="AY75">INDEX(R_Pro__Act,MATCH(I75,L_Prod,0))</f>
        <v>#N/A</v>
      </c>
      <c r="AZ75" s="188"/>
      <c r="BA75" s="188"/>
      <c r="BB75" s="188"/>
      <c r="BC75" s="188"/>
      <c r="BD75" s="188"/>
      <c r="BE75" s="151"/>
      <c r="BF75" s="151"/>
      <c r="BG75" s="151"/>
      <c r="BH75" s="151"/>
      <c r="BI75" s="151"/>
      <c r="BJ75" s="151"/>
      <c r="BK75" s="151"/>
      <c r="BL75" s="151"/>
      <c r="BM75" s="151"/>
    </row>
    <row r="76" ht="67.5" customHeight="1">
      <c r="A76" s="143"/>
      <c r="B76" s="169">
        <v>98.0</v>
      </c>
      <c r="C76" s="230"/>
      <c r="D76" s="171"/>
      <c r="E76" s="172"/>
      <c r="F76" s="173" t="str">
        <f>IF(ISBLANK(E76),"",VLOOKUP(E76,R_Inf_Proy,2,0))</f>
        <v/>
      </c>
      <c r="G76" s="173" t="str">
        <f>IF(ISBLANK(E76),"",VLOOKUP(E76,R_Inf_Proy,3,0))</f>
        <v/>
      </c>
      <c r="H76" s="231"/>
      <c r="I76" s="231"/>
      <c r="J76" s="231"/>
      <c r="K76" s="175"/>
      <c r="L76" s="232"/>
      <c r="M76" s="232"/>
      <c r="N76" s="233" t="str">
        <f>IF(K76="PRODUCTO",RIGHT(VLOOKUP(I76,R_Ind_Prod,2,0),LEN(VLOOKUP(I76,R_Ind_Prod,2,0))-12),IF(K76="GESTIÓN",RIGHT(VLOOKUP(E76,R_Ind_Gest,12,0),LEN(VLOOKUP(E76,R_Ind_Gest,12,0))-11),""))</f>
        <v/>
      </c>
      <c r="O76" s="191"/>
      <c r="P76" s="234"/>
      <c r="Q76" s="235"/>
      <c r="R76" s="236"/>
      <c r="S76" s="236"/>
      <c r="T76" s="234"/>
      <c r="U76" s="234"/>
      <c r="V76" s="234"/>
      <c r="W76" s="234"/>
      <c r="X76" s="237"/>
      <c r="Y76" s="238"/>
      <c r="Z76" s="236"/>
      <c r="AA76" s="236"/>
      <c r="AB76" s="183"/>
      <c r="AC76" s="183"/>
      <c r="AD76" s="183"/>
      <c r="AE76" s="183"/>
      <c r="AF76" s="183"/>
      <c r="AG76" s="183"/>
      <c r="AH76" s="183"/>
      <c r="AI76" s="183"/>
      <c r="AJ76" s="183"/>
      <c r="AK76" s="184"/>
      <c r="AL76" s="185"/>
      <c r="AM76" s="186" t="str">
        <f t="shared" si="7"/>
        <v/>
      </c>
      <c r="AN76" s="187"/>
      <c r="AO76" s="77" t="str">
        <f t="array" ref="AO76">INDEX(R_Proy__ObjEsp,MATCH(E76,L_Proy,0))</f>
        <v>#N/A</v>
      </c>
      <c r="AP76" s="78"/>
      <c r="AQ76" s="78"/>
      <c r="AR76" s="151"/>
      <c r="AS76" s="78" t="str">
        <f t="array" ref="AS76">INDEX(R_ObjEsp__Prod,MATCH(H76,L_ObjEsp,0))</f>
        <v>#N/A</v>
      </c>
      <c r="AT76" s="188"/>
      <c r="AU76" s="188"/>
      <c r="AV76" s="188"/>
      <c r="AW76" s="188"/>
      <c r="AX76" s="151"/>
      <c r="AY76" s="78" t="str">
        <f t="array" ref="AY76">INDEX(R_Pro__Act,MATCH(I76,L_Prod,0))</f>
        <v>#N/A</v>
      </c>
      <c r="AZ76" s="188"/>
      <c r="BA76" s="188"/>
      <c r="BB76" s="188"/>
      <c r="BC76" s="188"/>
      <c r="BD76" s="188"/>
      <c r="BE76" s="151"/>
      <c r="BF76" s="151"/>
      <c r="BG76" s="151"/>
      <c r="BH76" s="151"/>
      <c r="BI76" s="151"/>
      <c r="BJ76" s="151"/>
      <c r="BK76" s="151"/>
      <c r="BL76" s="151"/>
      <c r="BM76" s="151"/>
    </row>
    <row r="77" ht="67.5" customHeight="1">
      <c r="A77" s="143"/>
      <c r="B77" s="169">
        <v>99.0</v>
      </c>
      <c r="C77" s="170"/>
      <c r="D77" s="171"/>
      <c r="E77" s="172"/>
      <c r="F77" s="173" t="str">
        <f>IF(ISBLANK(E77),"",VLOOKUP(E77,R_Inf_Proy,2,0))</f>
        <v/>
      </c>
      <c r="G77" s="173" t="str">
        <f>IF(ISBLANK(E77),"",VLOOKUP(E77,R_Inf_Proy,3,0))</f>
        <v/>
      </c>
      <c r="H77" s="231"/>
      <c r="I77" s="231"/>
      <c r="J77" s="231"/>
      <c r="K77" s="175"/>
      <c r="L77" s="232"/>
      <c r="M77" s="232"/>
      <c r="N77" s="233" t="str">
        <f>IF(K77="PRODUCTO",RIGHT(VLOOKUP(I77,R_Ind_Prod,2,0),LEN(VLOOKUP(I77,R_Ind_Prod,2,0))-12),IF(K77="GESTIÓN",RIGHT(VLOOKUP(E77,R_Ind_Gest,12,0),LEN(VLOOKUP(E77,R_Ind_Gest,12,0))-11),""))</f>
        <v/>
      </c>
      <c r="O77" s="191"/>
      <c r="P77" s="234"/>
      <c r="Q77" s="235"/>
      <c r="R77" s="236"/>
      <c r="S77" s="236"/>
      <c r="T77" s="234"/>
      <c r="U77" s="234"/>
      <c r="V77" s="234"/>
      <c r="W77" s="234"/>
      <c r="X77" s="237"/>
      <c r="Y77" s="238"/>
      <c r="Z77" s="236"/>
      <c r="AA77" s="236"/>
      <c r="AB77" s="183"/>
      <c r="AC77" s="183"/>
      <c r="AD77" s="183"/>
      <c r="AE77" s="183"/>
      <c r="AF77" s="183"/>
      <c r="AG77" s="183"/>
      <c r="AH77" s="183"/>
      <c r="AI77" s="183"/>
      <c r="AJ77" s="183"/>
      <c r="AK77" s="184"/>
      <c r="AL77" s="185"/>
      <c r="AM77" s="186" t="str">
        <f t="shared" si="7"/>
        <v/>
      </c>
      <c r="AN77" s="187"/>
      <c r="AO77" s="77" t="str">
        <f t="array" ref="AO77">INDEX(R_Proy__ObjEsp,MATCH(E77,L_Proy,0))</f>
        <v>#N/A</v>
      </c>
      <c r="AP77" s="78"/>
      <c r="AQ77" s="78"/>
      <c r="AR77" s="151"/>
      <c r="AS77" s="78" t="str">
        <f t="array" ref="AS77">INDEX(R_ObjEsp__Prod,MATCH(H77,L_ObjEsp,0))</f>
        <v>#N/A</v>
      </c>
      <c r="AT77" s="188"/>
      <c r="AU77" s="188"/>
      <c r="AV77" s="188"/>
      <c r="AW77" s="188"/>
      <c r="AX77" s="151"/>
      <c r="AY77" s="78" t="str">
        <f t="array" ref="AY77">INDEX(R_Pro__Act,MATCH(I77,L_Prod,0))</f>
        <v>#N/A</v>
      </c>
      <c r="AZ77" s="188"/>
      <c r="BA77" s="188"/>
      <c r="BB77" s="188"/>
      <c r="BC77" s="188"/>
      <c r="BD77" s="188"/>
      <c r="BE77" s="151"/>
      <c r="BF77" s="151"/>
      <c r="BG77" s="151"/>
      <c r="BH77" s="151"/>
      <c r="BI77" s="151"/>
      <c r="BJ77" s="151"/>
      <c r="BK77" s="151"/>
      <c r="BL77" s="151"/>
      <c r="BM77" s="151"/>
    </row>
    <row r="78" ht="67.5" customHeight="1">
      <c r="A78" s="143"/>
      <c r="B78" s="239">
        <v>100.0</v>
      </c>
      <c r="C78" s="240"/>
      <c r="D78" s="241"/>
      <c r="E78" s="242"/>
      <c r="F78" s="243" t="str">
        <f>IF(ISBLANK(E78),"",VLOOKUP(E78,R_Inf_Proy,2,0))</f>
        <v/>
      </c>
      <c r="G78" s="243" t="str">
        <f>IF(ISBLANK(E78),"",VLOOKUP(E78,R_Inf_Proy,3,0))</f>
        <v/>
      </c>
      <c r="H78" s="244"/>
      <c r="I78" s="244"/>
      <c r="J78" s="244"/>
      <c r="K78" s="245"/>
      <c r="L78" s="246"/>
      <c r="M78" s="246"/>
      <c r="N78" s="247" t="str">
        <f>IF(K78="PRODUCTO",RIGHT(VLOOKUP(I78,R_Ind_Prod,2,0),LEN(VLOOKUP(I78,R_Ind_Prod,2,0))-12),IF(K78="GESTIÓN",RIGHT(VLOOKUP(E78,R_Ind_Gest,12,0),LEN(VLOOKUP(E78,R_Ind_Gest,12,0))-11),""))</f>
        <v/>
      </c>
      <c r="O78" s="248"/>
      <c r="P78" s="249"/>
      <c r="Q78" s="250"/>
      <c r="R78" s="251"/>
      <c r="S78" s="251"/>
      <c r="T78" s="252"/>
      <c r="U78" s="252"/>
      <c r="V78" s="252"/>
      <c r="W78" s="252"/>
      <c r="X78" s="253"/>
      <c r="Y78" s="254"/>
      <c r="Z78" s="251"/>
      <c r="AA78" s="251"/>
      <c r="AB78" s="255"/>
      <c r="AC78" s="255"/>
      <c r="AD78" s="255"/>
      <c r="AE78" s="255"/>
      <c r="AF78" s="255"/>
      <c r="AG78" s="255"/>
      <c r="AH78" s="255"/>
      <c r="AI78" s="255"/>
      <c r="AJ78" s="255"/>
      <c r="AK78" s="256"/>
      <c r="AL78" s="257"/>
      <c r="AM78" s="258"/>
      <c r="AN78" s="187"/>
      <c r="AO78" s="77" t="str">
        <f t="array" ref="AO78">INDEX(R_Proy__ObjEsp,MATCH(E78,L_Proy,0))</f>
        <v>#N/A</v>
      </c>
      <c r="AP78" s="78"/>
      <c r="AQ78" s="78"/>
      <c r="AR78" s="151"/>
      <c r="AS78" s="78" t="str">
        <f t="array" ref="AS78">INDEX(R_ObjEsp__Prod,MATCH(H78,L_ObjEsp,0))</f>
        <v>#N/A</v>
      </c>
      <c r="AT78" s="188"/>
      <c r="AU78" s="188"/>
      <c r="AV78" s="188"/>
      <c r="AW78" s="188"/>
      <c r="AX78" s="151"/>
      <c r="AY78" s="78" t="str">
        <f t="array" ref="AY78">INDEX(R_Pro__Act,MATCH(I78,L_Prod,0))</f>
        <v>#N/A</v>
      </c>
      <c r="AZ78" s="188"/>
      <c r="BA78" s="188"/>
      <c r="BB78" s="188"/>
      <c r="BC78" s="188"/>
      <c r="BD78" s="188"/>
      <c r="BE78" s="151"/>
      <c r="BF78" s="151"/>
      <c r="BG78" s="151"/>
      <c r="BH78" s="151"/>
      <c r="BI78" s="151"/>
      <c r="BJ78" s="151"/>
      <c r="BK78" s="151"/>
      <c r="BL78" s="151"/>
      <c r="BM78" s="151"/>
    </row>
    <row r="79" ht="15.75" customHeight="1">
      <c r="A79" s="149"/>
      <c r="B79" s="259"/>
      <c r="C79" s="260"/>
      <c r="D79" s="259"/>
      <c r="E79" s="149"/>
      <c r="F79" s="259"/>
      <c r="G79" s="259"/>
      <c r="H79" s="149"/>
      <c r="I79" s="149"/>
      <c r="J79" s="149"/>
      <c r="K79" s="259"/>
      <c r="L79" s="261"/>
      <c r="M79" s="261"/>
      <c r="N79" s="262"/>
      <c r="O79" s="263"/>
      <c r="P79" s="264"/>
      <c r="Q79" s="149"/>
      <c r="R79" s="262"/>
      <c r="S79" s="262"/>
      <c r="T79" s="265"/>
      <c r="U79" s="265"/>
      <c r="V79" s="265"/>
      <c r="W79" s="265"/>
      <c r="X79" s="259"/>
      <c r="Y79" s="261"/>
      <c r="Z79" s="262"/>
      <c r="AA79" s="262"/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7"/>
      <c r="AM79" s="268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</row>
  </sheetData>
  <customSheetViews>
    <customSheetView guid="{53D55F53-C764-4421-A3EC-48DE59138C30}" filter="1" showAutoFilter="1">
      <autoFilter ref="$D$2:$BF$78"/>
    </customSheetView>
  </customSheetViews>
  <conditionalFormatting sqref="P3:P4">
    <cfRule type="expression" dxfId="0" priority="1">
      <formula>SUM(T3:W3)&lt;&gt;P3</formula>
    </cfRule>
  </conditionalFormatting>
  <conditionalFormatting sqref="P4:P14 P16:P76 P78">
    <cfRule type="expression" dxfId="0" priority="2">
      <formula>SUM(T4:W4)&lt;&gt;P4</formula>
    </cfRule>
  </conditionalFormatting>
  <conditionalFormatting sqref="P77">
    <cfRule type="expression" dxfId="0" priority="3">
      <formula>SUM(T77:W77)&lt;&gt;P77</formula>
    </cfRule>
  </conditionalFormatting>
  <dataValidations>
    <dataValidation type="list" allowBlank="1" sqref="AF3:AF78">
      <formula1>l_Poli</formula1>
    </dataValidation>
    <dataValidation type="custom" allowBlank="1" showDropDown="1" sqref="AL3:AL78">
      <formula1>OR(NOT(ISERROR(DATEVALUE(AL3))), AND(ISNUMBER(AL3), LEFT(CELL("format", AL3))="D"))</formula1>
    </dataValidation>
    <dataValidation type="list" allowBlank="1" showInputMessage="1" showErrorMessage="1" prompt="Seleccionar producto valido para el proyecto" sqref="H8:J8 H10:J13 H15:J16">
      <formula1>#REF!</formula1>
    </dataValidation>
    <dataValidation type="list" allowBlank="1" sqref="S3:S78">
      <formula1>L_Ind_Peri</formula1>
    </dataValidation>
    <dataValidation type="list" allowBlank="1" sqref="AG3:AG78">
      <formula1>l_ODS</formula1>
    </dataValidation>
    <dataValidation type="list" allowBlank="1" sqref="D3:D78">
      <formula1>L_Area</formula1>
    </dataValidation>
    <dataValidation type="list" allowBlank="1" showInputMessage="1" showErrorMessage="1" prompt="Seleccionar producto valido para el proyecto" sqref="J3:J7 J9 J14 J17:J27 J30:J78">
      <formula1>AY3:BD3</formula1>
    </dataValidation>
    <dataValidation type="list" allowBlank="1" showInputMessage="1" showErrorMessage="1" prompt="Seleccionar producto valido para el proyecto" sqref="H3:H7 H9 H14 H17:H27 H30:H78">
      <formula1>AO3:AQ3</formula1>
    </dataValidation>
    <dataValidation type="list" allowBlank="1" sqref="L3:L78">
      <formula1>L_Cat</formula1>
    </dataValidation>
    <dataValidation type="list" allowBlank="1" showInputMessage="1" showErrorMessage="1" prompt="Seleccionar producto valido para el proyecto" sqref="I28:I29">
      <formula1>AS26:AW26</formula1>
    </dataValidation>
    <dataValidation type="list" allowBlank="1" sqref="AC3:AC78">
      <formula1>l_Clas</formula1>
    </dataValidation>
    <dataValidation type="list" allowBlank="1" sqref="AE3:AE78">
      <formula1>l_Dim</formula1>
    </dataValidation>
    <dataValidation type="list" allowBlank="1" sqref="AJ3:AK9 AK10:AK11 AJ12:AK16 AK17:AK78">
      <formula1>#REF!</formula1>
    </dataValidation>
    <dataValidation type="list" allowBlank="1" sqref="E3:E78">
      <formula1>L_Proy</formula1>
    </dataValidation>
    <dataValidation type="list" allowBlank="1" showInputMessage="1" showErrorMessage="1" prompt="Seleccionar producto valido para el proyecto" sqref="H28:H29">
      <formula1>AO26:AQ26</formula1>
    </dataValidation>
    <dataValidation type="list" allowBlank="1" sqref="K3:K78">
      <formula1>L_Ind_Tipo</formula1>
    </dataValidation>
    <dataValidation type="list" allowBlank="1" sqref="AH3:AH78">
      <formula1>L_Dere</formula1>
    </dataValidation>
    <dataValidation type="list" allowBlank="1" showErrorMessage="1" sqref="C3:C78">
      <formula1>L_Proc</formula1>
    </dataValidation>
    <dataValidation type="list" allowBlank="1" sqref="M3:M78">
      <formula1>L_Uni</formula1>
    </dataValidation>
    <dataValidation type="list" allowBlank="1" sqref="AD3:AD78">
      <formula1>l_ObjIns</formula1>
    </dataValidation>
    <dataValidation type="list" allowBlank="1" showInputMessage="1" showErrorMessage="1" prompt="Seleccionar producto valido para el proyecto" sqref="J28:J29">
      <formula1>AY26:BD26</formula1>
    </dataValidation>
    <dataValidation type="list" allowBlank="1" showInputMessage="1" showErrorMessage="1" prompt="Seleccionar producto valido para el proyecto" sqref="I3:I7 I9 I14 I17:I27 I30:I78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40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90</v>
      </c>
      <c r="D3" s="64" t="s">
        <v>164</v>
      </c>
      <c r="E3" s="64" t="s">
        <v>64</v>
      </c>
      <c r="F3" s="65">
        <f>IF(ISBLANK(E3),"",VLOOKUP(E3,R_Inf_Proy,2,0))</f>
        <v>2019011000280</v>
      </c>
      <c r="G3" s="65" t="str">
        <f>IF(ISBLANK(E3),"",VLOOKUP(E3,R_Inf_Proy,3,0))</f>
        <v>Sostenibilidad</v>
      </c>
      <c r="H3" s="66" t="s">
        <v>68</v>
      </c>
      <c r="I3" s="66" t="s">
        <v>132</v>
      </c>
      <c r="J3" s="66" t="s">
        <v>156</v>
      </c>
      <c r="K3" s="66" t="s">
        <v>819</v>
      </c>
      <c r="L3" s="67" t="s">
        <v>60</v>
      </c>
      <c r="M3" s="67" t="s">
        <v>61</v>
      </c>
      <c r="N3" s="67" t="s">
        <v>820</v>
      </c>
      <c r="O3" s="68"/>
      <c r="P3" s="109">
        <v>1.0</v>
      </c>
      <c r="Q3" s="70" t="s">
        <v>821</v>
      </c>
      <c r="R3" s="113" t="s">
        <v>822</v>
      </c>
      <c r="S3" s="71" t="s">
        <v>44</v>
      </c>
      <c r="T3" s="109">
        <v>0.0</v>
      </c>
      <c r="U3" s="109">
        <v>0.0</v>
      </c>
      <c r="V3" s="109">
        <v>0.0</v>
      </c>
      <c r="W3" s="109">
        <v>1.0</v>
      </c>
      <c r="X3" s="70" t="s">
        <v>823</v>
      </c>
      <c r="Y3" s="71" t="s">
        <v>824</v>
      </c>
      <c r="Z3" s="71" t="s">
        <v>825</v>
      </c>
      <c r="AA3" s="71" t="s">
        <v>826</v>
      </c>
      <c r="AB3" s="72" t="s">
        <v>464</v>
      </c>
      <c r="AC3" s="63" t="s">
        <v>302</v>
      </c>
      <c r="AD3" s="63" t="s">
        <v>84</v>
      </c>
      <c r="AE3" s="63" t="s">
        <v>115</v>
      </c>
      <c r="AF3" s="63" t="s">
        <v>116</v>
      </c>
      <c r="AG3" s="63" t="s">
        <v>282</v>
      </c>
      <c r="AH3" s="63" t="s">
        <v>62</v>
      </c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>#REF!</v>
      </c>
      <c r="AO3" s="77" t="str">
        <f t="array" ref="AO3:AQ3">INDEX(R_Proy__ObjEsp,MATCH(E3,L_Proy,0))</f>
        <v>Mejorar la explotación de los recursos pesqueros y de la acuicultura.</v>
      </c>
      <c r="AP3" s="78" t="s">
        <v>68</v>
      </c>
      <c r="AQ3" s="78"/>
      <c r="AR3" s="79"/>
      <c r="AS3" s="78" t="str">
        <f t="array" ref="AS3:AV3">INDEX(R_ObjEsp__Prod,MATCH(H3,L_ObjEsp,0))</f>
        <v>1-Servicios de apoyo a las estaciones de acuicultura</v>
      </c>
      <c r="AT3" s="80" t="s">
        <v>133</v>
      </c>
      <c r="AU3" s="80" t="s">
        <v>134</v>
      </c>
      <c r="AV3" s="80" t="s">
        <v>135</v>
      </c>
      <c r="AW3" s="80"/>
      <c r="AX3" s="79"/>
      <c r="AY3" s="78" t="str">
        <f t="array" ref="AY3:BD3">INDEX(R_Pro__Act,MATCH(I3,L_Prod,0))</f>
        <v>Desarrollar acciones de extensión rural a través de las estaciones de acuicultura</v>
      </c>
      <c r="AZ3" s="80" t="s">
        <v>157</v>
      </c>
      <c r="BA3" s="80"/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90</v>
      </c>
      <c r="D4" s="64" t="s">
        <v>164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103</v>
      </c>
      <c r="J4" s="66" t="s">
        <v>130</v>
      </c>
      <c r="K4" s="66" t="s">
        <v>819</v>
      </c>
      <c r="L4" s="67" t="s">
        <v>60</v>
      </c>
      <c r="M4" s="67" t="s">
        <v>61</v>
      </c>
      <c r="N4" s="67" t="s">
        <v>827</v>
      </c>
      <c r="O4" s="81"/>
      <c r="P4" s="109">
        <v>525.0</v>
      </c>
      <c r="Q4" s="269" t="s">
        <v>728</v>
      </c>
      <c r="R4" s="270" t="s">
        <v>828</v>
      </c>
      <c r="S4" s="71" t="s">
        <v>137</v>
      </c>
      <c r="T4" s="109">
        <v>75.0</v>
      </c>
      <c r="U4" s="109">
        <v>100.0</v>
      </c>
      <c r="V4" s="109">
        <v>175.0</v>
      </c>
      <c r="W4" s="109">
        <v>175.0</v>
      </c>
      <c r="X4" s="70" t="s">
        <v>823</v>
      </c>
      <c r="Y4" s="71" t="s">
        <v>824</v>
      </c>
      <c r="Z4" s="71" t="s">
        <v>825</v>
      </c>
      <c r="AA4" s="71" t="s">
        <v>826</v>
      </c>
      <c r="AB4" s="72" t="s">
        <v>464</v>
      </c>
      <c r="AC4" s="63" t="s">
        <v>302</v>
      </c>
      <c r="AD4" s="63" t="s">
        <v>84</v>
      </c>
      <c r="AE4" s="63" t="s">
        <v>115</v>
      </c>
      <c r="AF4" s="63" t="s">
        <v>116</v>
      </c>
      <c r="AG4" s="63" t="s">
        <v>282</v>
      </c>
      <c r="AH4" s="63" t="s">
        <v>62</v>
      </c>
      <c r="AI4" s="73"/>
      <c r="AJ4" s="73"/>
      <c r="AK4" s="74"/>
      <c r="AL4" s="75"/>
      <c r="AM4" s="76" t="str">
        <f t="shared" si="1"/>
        <v>#REF!</v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Regular el manejo y el ejercicio de la actividad pesquera y de la acuicultura.</v>
      </c>
      <c r="AZ4" s="80" t="s">
        <v>131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90</v>
      </c>
      <c r="D5" s="64" t="s">
        <v>164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68</v>
      </c>
      <c r="I5" s="66" t="s">
        <v>133</v>
      </c>
      <c r="J5" s="66" t="s">
        <v>157</v>
      </c>
      <c r="K5" s="66" t="s">
        <v>819</v>
      </c>
      <c r="L5" s="67" t="s">
        <v>60</v>
      </c>
      <c r="M5" s="67" t="s">
        <v>61</v>
      </c>
      <c r="N5" s="67" t="s">
        <v>829</v>
      </c>
      <c r="O5" s="81"/>
      <c r="P5" s="68">
        <f>T5+U5+V5+W5</f>
        <v>6000000</v>
      </c>
      <c r="Q5" s="70" t="s">
        <v>830</v>
      </c>
      <c r="R5" s="113" t="s">
        <v>831</v>
      </c>
      <c r="S5" s="71" t="s">
        <v>137</v>
      </c>
      <c r="T5" s="68">
        <v>300000.0</v>
      </c>
      <c r="U5" s="68">
        <v>500000.0</v>
      </c>
      <c r="V5" s="68">
        <v>2500000.0</v>
      </c>
      <c r="W5" s="68">
        <v>2700000.0</v>
      </c>
      <c r="X5" s="70" t="s">
        <v>823</v>
      </c>
      <c r="Y5" s="71" t="s">
        <v>824</v>
      </c>
      <c r="Z5" s="71" t="s">
        <v>825</v>
      </c>
      <c r="AA5" s="71" t="s">
        <v>826</v>
      </c>
      <c r="AB5" s="72" t="s">
        <v>464</v>
      </c>
      <c r="AC5" s="63" t="s">
        <v>302</v>
      </c>
      <c r="AD5" s="63" t="s">
        <v>114</v>
      </c>
      <c r="AE5" s="63" t="s">
        <v>115</v>
      </c>
      <c r="AF5" s="63" t="s">
        <v>116</v>
      </c>
      <c r="AG5" s="63" t="s">
        <v>282</v>
      </c>
      <c r="AH5" s="63" t="s">
        <v>62</v>
      </c>
      <c r="AI5" s="73"/>
      <c r="AJ5" s="73"/>
      <c r="AK5" s="74"/>
      <c r="AL5" s="75"/>
      <c r="AM5" s="76" t="str">
        <f t="shared" si="1"/>
        <v>#REF!</v>
      </c>
      <c r="AO5" s="77" t="str">
        <f t="array" ref="AO5:AQ5">INDEX(R_Proy__ObjEsp,MATCH(E5,L_Proy,0))</f>
        <v>Mejorar la explotación de los recursos pesqueros y de la acuicultura.</v>
      </c>
      <c r="AP5" s="78" t="s">
        <v>68</v>
      </c>
      <c r="AQ5" s="78"/>
      <c r="AR5" s="79"/>
      <c r="AS5" s="78" t="str">
        <f t="array" ref="AS5:AV5">INDEX(R_ObjEsp__Prod,MATCH(H5,L_ObjEsp,0))</f>
        <v>1-Servicios de apoyo a las estaciones de acuicultura</v>
      </c>
      <c r="AT5" s="80" t="s">
        <v>133</v>
      </c>
      <c r="AU5" s="80" t="s">
        <v>134</v>
      </c>
      <c r="AV5" s="80" t="s">
        <v>135</v>
      </c>
      <c r="AW5" s="80"/>
      <c r="AX5" s="79"/>
      <c r="AY5" s="78" t="str">
        <f t="array" ref="AY5:BD5">INDEX(R_Pro__Act,MATCH(I5,L_Prod,0))</f>
        <v>Desarrollar acciones de extensión rural a través de las estaciones de acuicultura</v>
      </c>
      <c r="AZ5" s="80" t="s">
        <v>157</v>
      </c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164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68</v>
      </c>
      <c r="I6" s="66" t="s">
        <v>134</v>
      </c>
      <c r="J6" s="66" t="s">
        <v>156</v>
      </c>
      <c r="K6" s="66" t="s">
        <v>819</v>
      </c>
      <c r="L6" s="67" t="s">
        <v>60</v>
      </c>
      <c r="M6" s="67" t="s">
        <v>61</v>
      </c>
      <c r="N6" s="67" t="s">
        <v>832</v>
      </c>
      <c r="O6" s="81"/>
      <c r="P6" s="109">
        <v>7.0</v>
      </c>
      <c r="Q6" s="70" t="s">
        <v>833</v>
      </c>
      <c r="R6" s="113" t="s">
        <v>834</v>
      </c>
      <c r="S6" s="71" t="s">
        <v>137</v>
      </c>
      <c r="T6" s="109">
        <v>0.0</v>
      </c>
      <c r="U6" s="109">
        <v>2.0</v>
      </c>
      <c r="V6" s="109">
        <v>2.0</v>
      </c>
      <c r="W6" s="109">
        <v>3.0</v>
      </c>
      <c r="X6" s="70" t="s">
        <v>823</v>
      </c>
      <c r="Y6" s="71" t="s">
        <v>824</v>
      </c>
      <c r="Z6" s="71" t="s">
        <v>825</v>
      </c>
      <c r="AA6" s="71" t="s">
        <v>826</v>
      </c>
      <c r="AB6" s="72" t="s">
        <v>464</v>
      </c>
      <c r="AC6" s="63" t="s">
        <v>302</v>
      </c>
      <c r="AD6" s="63" t="s">
        <v>84</v>
      </c>
      <c r="AE6" s="63" t="s">
        <v>115</v>
      </c>
      <c r="AF6" s="63" t="s">
        <v>116</v>
      </c>
      <c r="AG6" s="63" t="s">
        <v>282</v>
      </c>
      <c r="AH6" s="63" t="s">
        <v>62</v>
      </c>
      <c r="AI6" s="73"/>
      <c r="AJ6" s="73"/>
      <c r="AK6" s="74"/>
      <c r="AL6" s="75"/>
      <c r="AM6" s="76" t="str">
        <f t="shared" si="1"/>
        <v>#REF!</v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1-Servicios de apoyo a las estaciones de acuicultura</v>
      </c>
      <c r="AT6" s="80" t="s">
        <v>133</v>
      </c>
      <c r="AU6" s="80" t="s">
        <v>134</v>
      </c>
      <c r="AV6" s="80" t="s">
        <v>135</v>
      </c>
      <c r="AW6" s="80"/>
      <c r="AX6" s="79"/>
      <c r="AY6" s="78" t="str">
        <f t="array" ref="AY6:BD6">INDEX(R_Pro__Act,MATCH(I6,L_Prod,0))</f>
        <v>Desarrollar acciones de extensión rural a través de las estaciones de acuicultura</v>
      </c>
      <c r="AZ6" s="80" t="s">
        <v>157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90</v>
      </c>
      <c r="D7" s="64" t="s">
        <v>164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67</v>
      </c>
      <c r="I7" s="66" t="s">
        <v>103</v>
      </c>
      <c r="J7" s="66" t="s">
        <v>131</v>
      </c>
      <c r="K7" s="66" t="s">
        <v>112</v>
      </c>
      <c r="L7" s="67" t="s">
        <v>60</v>
      </c>
      <c r="M7" s="67" t="s">
        <v>61</v>
      </c>
      <c r="N7" s="67" t="s">
        <v>743</v>
      </c>
      <c r="O7" s="81"/>
      <c r="P7" s="109">
        <f t="shared" ref="P7:P13" si="2">T7+U7+V7+W7</f>
        <v>30</v>
      </c>
      <c r="Q7" s="70" t="s">
        <v>835</v>
      </c>
      <c r="R7" s="113" t="s">
        <v>836</v>
      </c>
      <c r="S7" s="71" t="s">
        <v>137</v>
      </c>
      <c r="T7" s="109">
        <v>0.0</v>
      </c>
      <c r="U7" s="109">
        <v>10.0</v>
      </c>
      <c r="V7" s="109">
        <v>10.0</v>
      </c>
      <c r="W7" s="109">
        <v>10.0</v>
      </c>
      <c r="X7" s="70" t="s">
        <v>823</v>
      </c>
      <c r="Y7" s="71" t="s">
        <v>824</v>
      </c>
      <c r="Z7" s="71" t="s">
        <v>825</v>
      </c>
      <c r="AA7" s="71" t="s">
        <v>826</v>
      </c>
      <c r="AB7" s="72" t="s">
        <v>464</v>
      </c>
      <c r="AC7" s="63" t="s">
        <v>302</v>
      </c>
      <c r="AD7" s="63" t="s">
        <v>84</v>
      </c>
      <c r="AE7" s="63" t="s">
        <v>115</v>
      </c>
      <c r="AF7" s="63" t="s">
        <v>116</v>
      </c>
      <c r="AG7" s="63" t="s">
        <v>282</v>
      </c>
      <c r="AH7" s="63" t="s">
        <v>62</v>
      </c>
      <c r="AI7" s="73"/>
      <c r="AJ7" s="73"/>
      <c r="AK7" s="74"/>
      <c r="AL7" s="75"/>
      <c r="AM7" s="76" t="str">
        <f t="shared" si="1"/>
        <v/>
      </c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Servicio de ordenación pesquera y de la acuicultura</v>
      </c>
      <c r="AT7" s="80" t="s">
        <v>103</v>
      </c>
      <c r="AU7" s="80"/>
      <c r="AV7" s="80"/>
      <c r="AW7" s="80"/>
      <c r="AX7" s="79"/>
      <c r="AY7" s="78" t="str">
        <f t="array" ref="AY7:BD7">INDEX(R_Pro__Act,MATCH(I7,L_Prod,0))</f>
        <v>Regular el manejo y el ejercicio de la actividad pesquera y de la acuicultura.</v>
      </c>
      <c r="AZ7" s="80" t="s">
        <v>131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90</v>
      </c>
      <c r="D8" s="64" t="s">
        <v>164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103</v>
      </c>
      <c r="J8" s="66" t="s">
        <v>131</v>
      </c>
      <c r="K8" s="66" t="s">
        <v>112</v>
      </c>
      <c r="L8" s="67" t="s">
        <v>60</v>
      </c>
      <c r="M8" s="67" t="s">
        <v>61</v>
      </c>
      <c r="N8" s="67" t="s">
        <v>837</v>
      </c>
      <c r="O8" s="81"/>
      <c r="P8" s="109">
        <f t="shared" si="2"/>
        <v>50</v>
      </c>
      <c r="Q8" s="70" t="s">
        <v>838</v>
      </c>
      <c r="R8" s="113" t="s">
        <v>836</v>
      </c>
      <c r="S8" s="71" t="s">
        <v>839</v>
      </c>
      <c r="T8" s="109">
        <v>5.0</v>
      </c>
      <c r="U8" s="109">
        <v>10.0</v>
      </c>
      <c r="V8" s="109">
        <v>15.0</v>
      </c>
      <c r="W8" s="109">
        <v>20.0</v>
      </c>
      <c r="X8" s="70" t="s">
        <v>823</v>
      </c>
      <c r="Y8" s="71" t="s">
        <v>824</v>
      </c>
      <c r="Z8" s="71" t="s">
        <v>825</v>
      </c>
      <c r="AA8" s="71" t="s">
        <v>826</v>
      </c>
      <c r="AB8" s="72" t="s">
        <v>464</v>
      </c>
      <c r="AC8" s="63" t="s">
        <v>302</v>
      </c>
      <c r="AD8" s="63" t="s">
        <v>84</v>
      </c>
      <c r="AE8" s="63" t="s">
        <v>115</v>
      </c>
      <c r="AF8" s="63" t="s">
        <v>116</v>
      </c>
      <c r="AG8" s="63" t="s">
        <v>282</v>
      </c>
      <c r="AH8" s="63" t="s">
        <v>62</v>
      </c>
      <c r="AI8" s="73"/>
      <c r="AJ8" s="73"/>
      <c r="AK8" s="74"/>
      <c r="AL8" s="75"/>
      <c r="AM8" s="76" t="str">
        <f t="shared" si="1"/>
        <v/>
      </c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Regular el manejo y el ejercicio de la actividad pesquera y de la acuicultura.</v>
      </c>
      <c r="AZ8" s="80" t="s">
        <v>131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90</v>
      </c>
      <c r="D9" s="64" t="s">
        <v>164</v>
      </c>
      <c r="E9" s="64" t="s">
        <v>64</v>
      </c>
      <c r="F9" s="65">
        <f>IF(ISBLANK(E9),"",VLOOKUP(E9,R_Inf_Proy,2,0))</f>
        <v>2019011000280</v>
      </c>
      <c r="G9" s="65" t="str">
        <f>IF(ISBLANK(E9),"",VLOOKUP(E9,R_Inf_Proy,3,0))</f>
        <v>Sostenibilidad</v>
      </c>
      <c r="H9" s="66" t="s">
        <v>67</v>
      </c>
      <c r="I9" s="66" t="s">
        <v>103</v>
      </c>
      <c r="J9" s="66" t="s">
        <v>130</v>
      </c>
      <c r="K9" s="66" t="s">
        <v>82</v>
      </c>
      <c r="L9" s="67" t="s">
        <v>60</v>
      </c>
      <c r="M9" s="67" t="s">
        <v>61</v>
      </c>
      <c r="N9" s="67" t="s">
        <v>840</v>
      </c>
      <c r="O9" s="84"/>
      <c r="P9" s="109">
        <f t="shared" si="2"/>
        <v>4000</v>
      </c>
      <c r="Q9" s="70" t="s">
        <v>841</v>
      </c>
      <c r="R9" s="113" t="s">
        <v>842</v>
      </c>
      <c r="S9" s="71" t="s">
        <v>137</v>
      </c>
      <c r="T9" s="109">
        <v>0.0</v>
      </c>
      <c r="U9" s="109">
        <v>1200.0</v>
      </c>
      <c r="V9" s="109">
        <v>1400.0</v>
      </c>
      <c r="W9" s="109">
        <v>1400.0</v>
      </c>
      <c r="X9" s="70" t="s">
        <v>823</v>
      </c>
      <c r="Y9" s="71" t="s">
        <v>824</v>
      </c>
      <c r="Z9" s="71" t="s">
        <v>825</v>
      </c>
      <c r="AA9" s="71" t="s">
        <v>826</v>
      </c>
      <c r="AB9" s="72" t="s">
        <v>464</v>
      </c>
      <c r="AC9" s="63" t="s">
        <v>302</v>
      </c>
      <c r="AD9" s="63" t="s">
        <v>84</v>
      </c>
      <c r="AE9" s="63" t="s">
        <v>115</v>
      </c>
      <c r="AF9" s="63" t="s">
        <v>303</v>
      </c>
      <c r="AG9" s="63" t="s">
        <v>282</v>
      </c>
      <c r="AH9" s="63" t="s">
        <v>62</v>
      </c>
      <c r="AI9" s="73"/>
      <c r="AJ9" s="73"/>
      <c r="AK9" s="74"/>
      <c r="AL9" s="75"/>
      <c r="AM9" s="76" t="str">
        <f t="shared" si="1"/>
        <v/>
      </c>
      <c r="AO9" s="77" t="str">
        <f t="array" ref="AO9:AQ9">INDEX(R_Proy__ObjEsp,MATCH(E9,L_Proy,0))</f>
        <v>Mejorar la explotación de los recursos pesqueros y de la acuicultura.</v>
      </c>
      <c r="AP9" s="78" t="s">
        <v>68</v>
      </c>
      <c r="AQ9" s="78"/>
      <c r="AR9" s="79"/>
      <c r="AS9" s="78" t="str">
        <f t="array" ref="AS9:AV9">INDEX(R_ObjEsp__Prod,MATCH(H9,L_ObjEsp,0))</f>
        <v>Servicio de ordenación pesquera y de la acuicultura</v>
      </c>
      <c r="AT9" s="80" t="s">
        <v>103</v>
      </c>
      <c r="AU9" s="80"/>
      <c r="AV9" s="80"/>
      <c r="AW9" s="80"/>
      <c r="AX9" s="79"/>
      <c r="AY9" s="78" t="str">
        <f t="array" ref="AY9:BD9">INDEX(R_Pro__Act,MATCH(I9,L_Prod,0))</f>
        <v>Regular el manejo y el ejercicio de la actividad pesquera y de la acuicultura.</v>
      </c>
      <c r="AZ9" s="80" t="s">
        <v>131</v>
      </c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120</v>
      </c>
      <c r="D10" s="64" t="s">
        <v>164</v>
      </c>
      <c r="E10" s="64" t="s">
        <v>30</v>
      </c>
      <c r="F10" s="65">
        <f>IF(ISBLANK(E10),"",VLOOKUP(E10,R_Inf_Proy,2,0))</f>
        <v>2019011000276</v>
      </c>
      <c r="G10" s="65" t="str">
        <f>IF(ISBLANK(E10),"",VLOOKUP(E10,R_Inf_Proy,3,0))</f>
        <v>Inspección</v>
      </c>
      <c r="H10" s="66" t="s">
        <v>33</v>
      </c>
      <c r="I10" s="66" t="s">
        <v>35</v>
      </c>
      <c r="J10" s="66" t="s">
        <v>40</v>
      </c>
      <c r="K10" s="66" t="s">
        <v>819</v>
      </c>
      <c r="L10" s="67" t="s">
        <v>60</v>
      </c>
      <c r="M10" s="67" t="s">
        <v>61</v>
      </c>
      <c r="N10" s="67" t="s">
        <v>596</v>
      </c>
      <c r="O10" s="81"/>
      <c r="P10" s="109">
        <f t="shared" si="2"/>
        <v>450</v>
      </c>
      <c r="Q10" s="70" t="s">
        <v>843</v>
      </c>
      <c r="R10" s="113" t="s">
        <v>844</v>
      </c>
      <c r="S10" s="71" t="s">
        <v>137</v>
      </c>
      <c r="T10" s="109">
        <v>50.0</v>
      </c>
      <c r="U10" s="109">
        <v>150.0</v>
      </c>
      <c r="V10" s="109">
        <v>125.0</v>
      </c>
      <c r="W10" s="109">
        <v>125.0</v>
      </c>
      <c r="X10" s="70" t="s">
        <v>823</v>
      </c>
      <c r="Y10" s="71" t="s">
        <v>824</v>
      </c>
      <c r="Z10" s="71" t="s">
        <v>825</v>
      </c>
      <c r="AA10" s="71" t="s">
        <v>826</v>
      </c>
      <c r="AB10" s="72" t="s">
        <v>464</v>
      </c>
      <c r="AC10" s="63" t="s">
        <v>302</v>
      </c>
      <c r="AD10" s="63" t="s">
        <v>84</v>
      </c>
      <c r="AE10" s="63" t="s">
        <v>115</v>
      </c>
      <c r="AF10" s="63" t="s">
        <v>116</v>
      </c>
      <c r="AG10" s="63" t="s">
        <v>282</v>
      </c>
      <c r="AH10" s="63" t="s">
        <v>62</v>
      </c>
      <c r="AI10" s="73"/>
      <c r="AJ10" s="72" t="s">
        <v>845</v>
      </c>
      <c r="AK10" s="74"/>
      <c r="AL10" s="75"/>
      <c r="AM10" s="76" t="str">
        <f t="shared" si="1"/>
        <v>#REF!</v>
      </c>
      <c r="AO10" s="77" t="str">
        <f t="array" ref="AO10:AQ10">INDEX(R_Proy__ObjEsp,MATCH(E10,L_Proy,0))</f>
        <v>Fortalecer los mecanismos de seguimiento y control de la actividad pesquera y de la acuicultura.</v>
      </c>
      <c r="AP10" s="78" t="s">
        <v>34</v>
      </c>
      <c r="AQ10" s="78"/>
      <c r="AR10" s="79"/>
      <c r="AS10" s="78" t="str">
        <f t="array" ref="AS10:AV10">INDEX(R_ObjEsp__Prod,MATCH(H10,L_ObjEsp,0))</f>
        <v>Servicio de inspección, vigilancia y control de la pesca y la acuicultura</v>
      </c>
      <c r="AT10" s="80"/>
      <c r="AU10" s="80"/>
      <c r="AV10" s="80"/>
      <c r="AW10" s="80"/>
      <c r="AX10" s="79"/>
      <c r="AY10" s="78" t="str">
        <f t="array" ref="AY10:BD10">INDEX(R_Pro__Act,MATCH(I10,L_Prod,0))</f>
        <v>Realizar seguimiento y actualización al registro general de pesca.</v>
      </c>
      <c r="AZ10" s="80" t="s">
        <v>37</v>
      </c>
      <c r="BA10" s="80" t="s">
        <v>38</v>
      </c>
      <c r="BB10" s="80" t="s">
        <v>39</v>
      </c>
      <c r="BC10" s="80" t="s">
        <v>40</v>
      </c>
      <c r="BD10" s="80" t="s">
        <v>41</v>
      </c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 t="s">
        <v>90</v>
      </c>
      <c r="D11" s="64" t="s">
        <v>164</v>
      </c>
      <c r="E11" s="64" t="s">
        <v>64</v>
      </c>
      <c r="F11" s="65">
        <f>IF(ISBLANK(E11),"",VLOOKUP(E11,R_Inf_Proy,2,0))</f>
        <v>2019011000280</v>
      </c>
      <c r="G11" s="65" t="str">
        <f>IF(ISBLANK(E11),"",VLOOKUP(E11,R_Inf_Proy,3,0))</f>
        <v>Sostenibilidad</v>
      </c>
      <c r="H11" s="66" t="s">
        <v>67</v>
      </c>
      <c r="I11" s="66" t="s">
        <v>100</v>
      </c>
      <c r="J11" s="66" t="s">
        <v>206</v>
      </c>
      <c r="K11" s="66" t="s">
        <v>112</v>
      </c>
      <c r="L11" s="67" t="s">
        <v>60</v>
      </c>
      <c r="M11" s="67" t="s">
        <v>61</v>
      </c>
      <c r="N11" s="67" t="s">
        <v>846</v>
      </c>
      <c r="O11" s="81"/>
      <c r="P11" s="68">
        <f t="shared" si="2"/>
        <v>2000000</v>
      </c>
      <c r="Q11" s="70" t="s">
        <v>847</v>
      </c>
      <c r="R11" s="113" t="s">
        <v>848</v>
      </c>
      <c r="S11" s="71" t="s">
        <v>137</v>
      </c>
      <c r="T11" s="68">
        <v>250000.0</v>
      </c>
      <c r="U11" s="68">
        <v>500000.0</v>
      </c>
      <c r="V11" s="68">
        <v>750000.0</v>
      </c>
      <c r="W11" s="68">
        <v>500000.0</v>
      </c>
      <c r="X11" s="70" t="s">
        <v>823</v>
      </c>
      <c r="Y11" s="71" t="s">
        <v>824</v>
      </c>
      <c r="Z11" s="71" t="s">
        <v>825</v>
      </c>
      <c r="AA11" s="71" t="s">
        <v>826</v>
      </c>
      <c r="AB11" s="72" t="s">
        <v>464</v>
      </c>
      <c r="AC11" s="63" t="s">
        <v>302</v>
      </c>
      <c r="AD11" s="63" t="s">
        <v>84</v>
      </c>
      <c r="AE11" s="63" t="s">
        <v>115</v>
      </c>
      <c r="AF11" s="63" t="s">
        <v>116</v>
      </c>
      <c r="AG11" s="63" t="s">
        <v>282</v>
      </c>
      <c r="AH11" s="63" t="s">
        <v>62</v>
      </c>
      <c r="AI11" s="73"/>
      <c r="AJ11" s="72" t="s">
        <v>845</v>
      </c>
      <c r="AK11" s="74"/>
      <c r="AL11" s="75"/>
      <c r="AM11" s="76" t="str">
        <f t="shared" si="1"/>
        <v/>
      </c>
      <c r="AO11" s="77" t="str">
        <f t="array" ref="AO11:AQ11">INDEX(R_Proy__ObjEsp,MATCH(E11,L_Proy,0))</f>
        <v>Mejorar la explotación de los recursos pesqueros y de la acuicultura.</v>
      </c>
      <c r="AP11" s="78" t="s">
        <v>68</v>
      </c>
      <c r="AQ11" s="78"/>
      <c r="AR11" s="79"/>
      <c r="AS11" s="78" t="str">
        <f t="array" ref="AS11:AV11">INDEX(R_ObjEsp__Prod,MATCH(H11,L_ObjEsp,0))</f>
        <v>Servicio de ordenación pesquera y de la acuicultura</v>
      </c>
      <c r="AT11" s="80" t="s">
        <v>103</v>
      </c>
      <c r="AU11" s="80"/>
      <c r="AV11" s="80"/>
      <c r="AW11" s="80"/>
      <c r="AX11" s="79"/>
      <c r="AY11" s="78" t="str">
        <f t="array" ref="AY11:BD11">INDEX(R_Pro__Act,MATCH(I11,L_Prod,0))</f>
        <v>Realizar seguimiento a los acuerdos de ordenación</v>
      </c>
      <c r="AZ11" s="80" t="s">
        <v>102</v>
      </c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271"/>
      <c r="B12" s="272">
        <v>10.0</v>
      </c>
      <c r="C12" s="273" t="s">
        <v>90</v>
      </c>
      <c r="D12" s="274" t="s">
        <v>164</v>
      </c>
      <c r="E12" s="274" t="s">
        <v>64</v>
      </c>
      <c r="F12" s="275">
        <f>IF(ISBLANK(E12),"",VLOOKUP(E12,R_Inf_Proy,2,0))</f>
        <v>2019011000280</v>
      </c>
      <c r="G12" s="275" t="str">
        <f>IF(ISBLANK(E12),"",VLOOKUP(E12,R_Inf_Proy,3,0))</f>
        <v>Sostenibilidad</v>
      </c>
      <c r="H12" s="269" t="s">
        <v>68</v>
      </c>
      <c r="I12" s="269" t="s">
        <v>135</v>
      </c>
      <c r="J12" s="269" t="s">
        <v>206</v>
      </c>
      <c r="K12" s="269" t="s">
        <v>51</v>
      </c>
      <c r="L12" s="119" t="s">
        <v>60</v>
      </c>
      <c r="M12" s="119" t="s">
        <v>61</v>
      </c>
      <c r="N12" s="119" t="s">
        <v>849</v>
      </c>
      <c r="O12" s="276"/>
      <c r="P12" s="277">
        <f t="shared" si="2"/>
        <v>10</v>
      </c>
      <c r="Q12" s="269" t="s">
        <v>778</v>
      </c>
      <c r="R12" s="270" t="s">
        <v>850</v>
      </c>
      <c r="S12" s="278" t="s">
        <v>137</v>
      </c>
      <c r="T12" s="277">
        <v>2.0</v>
      </c>
      <c r="U12" s="277">
        <v>3.0</v>
      </c>
      <c r="V12" s="277">
        <v>3.0</v>
      </c>
      <c r="W12" s="277">
        <v>2.0</v>
      </c>
      <c r="X12" s="269" t="s">
        <v>823</v>
      </c>
      <c r="Y12" s="278" t="s">
        <v>824</v>
      </c>
      <c r="Z12" s="278" t="s">
        <v>825</v>
      </c>
      <c r="AA12" s="278" t="s">
        <v>826</v>
      </c>
      <c r="AB12" s="279" t="s">
        <v>464</v>
      </c>
      <c r="AC12" s="273" t="s">
        <v>302</v>
      </c>
      <c r="AD12" s="273" t="s">
        <v>84</v>
      </c>
      <c r="AE12" s="273" t="s">
        <v>115</v>
      </c>
      <c r="AF12" s="273" t="s">
        <v>116</v>
      </c>
      <c r="AG12" s="273" t="s">
        <v>282</v>
      </c>
      <c r="AH12" s="273" t="s">
        <v>62</v>
      </c>
      <c r="AI12" s="280"/>
      <c r="AJ12" s="72" t="s">
        <v>845</v>
      </c>
      <c r="AK12" s="281"/>
      <c r="AL12" s="282"/>
      <c r="AM12" s="283" t="str">
        <f t="shared" si="1"/>
        <v/>
      </c>
      <c r="AN12" s="284"/>
      <c r="AO12" s="285" t="str">
        <f t="array" ref="AO12:AQ12">INDEX(R_Proy__ObjEsp,MATCH(E12,L_Proy,0))</f>
        <v>Mejorar la explotación de los recursos pesqueros y de la acuicultura.</v>
      </c>
      <c r="AP12" s="286" t="s">
        <v>68</v>
      </c>
      <c r="AQ12" s="286"/>
      <c r="AR12" s="287"/>
      <c r="AS12" s="286" t="str">
        <f t="array" ref="AS12:AV12">INDEX(R_ObjEsp__Prod,MATCH(H12,L_ObjEsp,0))</f>
        <v>1-Servicios de apoyo a las estaciones de acuicultura</v>
      </c>
      <c r="AT12" s="288" t="s">
        <v>133</v>
      </c>
      <c r="AU12" s="288" t="s">
        <v>134</v>
      </c>
      <c r="AV12" s="288" t="s">
        <v>135</v>
      </c>
      <c r="AW12" s="288"/>
      <c r="AX12" s="287"/>
      <c r="AY12" s="286" t="str">
        <f t="array" ref="AY12:BD12">INDEX(R_Pro__Act,MATCH(I12,L_Prod,0))</f>
        <v>Generar acciones de fomento para la pesca, la acuicultura y sus actividades conexas.</v>
      </c>
      <c r="AZ12" s="288" t="s">
        <v>207</v>
      </c>
      <c r="BA12" s="288"/>
      <c r="BB12" s="288"/>
      <c r="BC12" s="288"/>
      <c r="BD12" s="288"/>
      <c r="BE12" s="287"/>
      <c r="BF12" s="287"/>
      <c r="BG12" s="287"/>
      <c r="BH12" s="287"/>
      <c r="BI12" s="287"/>
      <c r="BJ12" s="287"/>
      <c r="BK12" s="287"/>
      <c r="BL12" s="287"/>
      <c r="BM12" s="287"/>
    </row>
    <row r="13" ht="67.5" customHeight="1">
      <c r="A13" s="271"/>
      <c r="B13" s="272">
        <v>11.0</v>
      </c>
      <c r="C13" s="273" t="s">
        <v>90</v>
      </c>
      <c r="D13" s="274" t="s">
        <v>164</v>
      </c>
      <c r="E13" s="274" t="s">
        <v>64</v>
      </c>
      <c r="F13" s="275">
        <f>IF(ISBLANK(E13),"",VLOOKUP(E13,R_Inf_Proy,2,0))</f>
        <v>2019011000280</v>
      </c>
      <c r="G13" s="275" t="str">
        <f>IF(ISBLANK(E13),"",VLOOKUP(E13,R_Inf_Proy,3,0))</f>
        <v>Sostenibilidad</v>
      </c>
      <c r="H13" s="269" t="s">
        <v>68</v>
      </c>
      <c r="I13" s="269" t="s">
        <v>135</v>
      </c>
      <c r="J13" s="269" t="s">
        <v>206</v>
      </c>
      <c r="K13" s="269" t="s">
        <v>112</v>
      </c>
      <c r="L13" s="119" t="s">
        <v>60</v>
      </c>
      <c r="M13" s="119" t="s">
        <v>61</v>
      </c>
      <c r="N13" s="119" t="s">
        <v>851</v>
      </c>
      <c r="O13" s="276"/>
      <c r="P13" s="277">
        <f t="shared" si="2"/>
        <v>10</v>
      </c>
      <c r="Q13" s="269" t="s">
        <v>852</v>
      </c>
      <c r="R13" s="270" t="s">
        <v>853</v>
      </c>
      <c r="S13" s="278" t="s">
        <v>137</v>
      </c>
      <c r="T13" s="277">
        <v>2.0</v>
      </c>
      <c r="U13" s="277">
        <v>3.0</v>
      </c>
      <c r="V13" s="277">
        <v>3.0</v>
      </c>
      <c r="W13" s="277">
        <v>2.0</v>
      </c>
      <c r="X13" s="269" t="s">
        <v>823</v>
      </c>
      <c r="Y13" s="278" t="s">
        <v>824</v>
      </c>
      <c r="Z13" s="278" t="s">
        <v>825</v>
      </c>
      <c r="AA13" s="278" t="s">
        <v>826</v>
      </c>
      <c r="AB13" s="279" t="s">
        <v>464</v>
      </c>
      <c r="AC13" s="273" t="s">
        <v>302</v>
      </c>
      <c r="AD13" s="273" t="s">
        <v>84</v>
      </c>
      <c r="AE13" s="273" t="s">
        <v>115</v>
      </c>
      <c r="AF13" s="273" t="s">
        <v>116</v>
      </c>
      <c r="AG13" s="273" t="s">
        <v>282</v>
      </c>
      <c r="AH13" s="273" t="s">
        <v>62</v>
      </c>
      <c r="AI13" s="280"/>
      <c r="AJ13" s="72" t="s">
        <v>845</v>
      </c>
      <c r="AK13" s="281"/>
      <c r="AL13" s="282"/>
      <c r="AM13" s="283" t="str">
        <f t="shared" si="1"/>
        <v/>
      </c>
      <c r="AN13" s="284"/>
      <c r="AO13" s="285" t="str">
        <f t="array" ref="AO13:AQ13">INDEX(R_Proy__ObjEsp,MATCH(E13,L_Proy,0))</f>
        <v>Mejorar la explotación de los recursos pesqueros y de la acuicultura.</v>
      </c>
      <c r="AP13" s="286" t="s">
        <v>68</v>
      </c>
      <c r="AQ13" s="286"/>
      <c r="AR13" s="287"/>
      <c r="AS13" s="286" t="str">
        <f t="array" ref="AS13:AV13">INDEX(R_ObjEsp__Prod,MATCH(H13,L_ObjEsp,0))</f>
        <v>1-Servicios de apoyo a las estaciones de acuicultura</v>
      </c>
      <c r="AT13" s="288" t="s">
        <v>133</v>
      </c>
      <c r="AU13" s="288" t="s">
        <v>134</v>
      </c>
      <c r="AV13" s="288" t="s">
        <v>135</v>
      </c>
      <c r="AW13" s="288"/>
      <c r="AX13" s="287"/>
      <c r="AY13" s="286" t="str">
        <f t="array" ref="AY13:BD13">INDEX(R_Pro__Act,MATCH(I13,L_Prod,0))</f>
        <v>Generar acciones de fomento para la pesca, la acuicultura y sus actividades conexas.</v>
      </c>
      <c r="AZ13" s="288" t="s">
        <v>207</v>
      </c>
      <c r="BA13" s="288"/>
      <c r="BB13" s="288"/>
      <c r="BC13" s="288"/>
      <c r="BD13" s="288"/>
      <c r="BE13" s="287"/>
      <c r="BF13" s="287"/>
      <c r="BG13" s="287"/>
      <c r="BH13" s="287"/>
      <c r="BI13" s="287"/>
      <c r="BJ13" s="287"/>
      <c r="BK13" s="287"/>
      <c r="BL13" s="287"/>
      <c r="BM13" s="287"/>
    </row>
    <row r="14" ht="67.5" customHeight="1">
      <c r="A14" s="39"/>
      <c r="B14" s="62">
        <v>12.0</v>
      </c>
      <c r="C14" s="269" t="s">
        <v>90</v>
      </c>
      <c r="D14" s="269" t="s">
        <v>182</v>
      </c>
      <c r="E14" s="269" t="s">
        <v>64</v>
      </c>
      <c r="F14" s="269">
        <f>IF(ISBLANK(E14),"",VLOOKUP(E14,R_Inf_Proy,2,0))</f>
        <v>2019011000280</v>
      </c>
      <c r="G14" s="269" t="str">
        <f>IF(ISBLANK(E14),"",VLOOKUP(E14,R_Inf_Proy,3,0))</f>
        <v>Sostenibilidad</v>
      </c>
      <c r="H14" s="269" t="s">
        <v>67</v>
      </c>
      <c r="I14" s="269" t="s">
        <v>103</v>
      </c>
      <c r="J14" s="119" t="s">
        <v>130</v>
      </c>
      <c r="K14" s="119" t="s">
        <v>51</v>
      </c>
      <c r="L14" s="119" t="s">
        <v>60</v>
      </c>
      <c r="M14" s="119" t="s">
        <v>61</v>
      </c>
      <c r="N14" s="119" t="s">
        <v>854</v>
      </c>
      <c r="O14" s="81"/>
      <c r="P14" s="68">
        <v>1000.0</v>
      </c>
      <c r="Q14" s="269" t="s">
        <v>759</v>
      </c>
      <c r="R14" s="270" t="s">
        <v>760</v>
      </c>
      <c r="S14" s="278" t="s">
        <v>137</v>
      </c>
      <c r="T14" s="277">
        <v>100.0</v>
      </c>
      <c r="U14" s="277">
        <v>200.0</v>
      </c>
      <c r="V14" s="277">
        <v>400.0</v>
      </c>
      <c r="W14" s="277">
        <v>300.0</v>
      </c>
      <c r="X14" s="269" t="s">
        <v>823</v>
      </c>
      <c r="Y14" s="278" t="s">
        <v>824</v>
      </c>
      <c r="Z14" s="278" t="s">
        <v>825</v>
      </c>
      <c r="AA14" s="278" t="s">
        <v>826</v>
      </c>
      <c r="AB14" s="279" t="s">
        <v>464</v>
      </c>
      <c r="AC14" s="273" t="s">
        <v>302</v>
      </c>
      <c r="AD14" s="273" t="s">
        <v>84</v>
      </c>
      <c r="AE14" s="273" t="s">
        <v>115</v>
      </c>
      <c r="AF14" s="273" t="s">
        <v>116</v>
      </c>
      <c r="AG14" s="273" t="s">
        <v>282</v>
      </c>
      <c r="AH14" s="273" t="s">
        <v>62</v>
      </c>
      <c r="AI14" s="280"/>
      <c r="AJ14" s="72" t="s">
        <v>845</v>
      </c>
      <c r="AK14" s="74"/>
      <c r="AL14" s="75"/>
      <c r="AM14" s="76" t="str">
        <f t="shared" si="1"/>
        <v/>
      </c>
      <c r="AO14" s="77" t="str">
        <f t="array" ref="AO14:AQ14">INDEX(R_Proy__ObjEsp,MATCH(E14,L_Proy,0))</f>
        <v>Mejorar la explotación de los recursos pesqueros y de la acuicultura.</v>
      </c>
      <c r="AP14" s="78" t="s">
        <v>68</v>
      </c>
      <c r="AQ14" s="78"/>
      <c r="AR14" s="79"/>
      <c r="AS14" s="78" t="str">
        <f t="array" ref="AS14:AV14">INDEX(R_ObjEsp__Prod,MATCH(H14,L_ObjEsp,0))</f>
        <v>Servicio de ordenación pesquera y de la acuicultura</v>
      </c>
      <c r="AT14" s="80" t="s">
        <v>103</v>
      </c>
      <c r="AU14" s="80"/>
      <c r="AV14" s="80"/>
      <c r="AW14" s="80"/>
      <c r="AX14" s="79"/>
      <c r="AY14" s="78" t="str">
        <f t="array" ref="AY14:BD14">INDEX(R_Pro__Act,MATCH(I14,L_Prod,0))</f>
        <v>Regular el manejo y el ejercicio de la actividad pesquera y de la acuicultura.</v>
      </c>
      <c r="AZ14" s="80" t="s">
        <v>131</v>
      </c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289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289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289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289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289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289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289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289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289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289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289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289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289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289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289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289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289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289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289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289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289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289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289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289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289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289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289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289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289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289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289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289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289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289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289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289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289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289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289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289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289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289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289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289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289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289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289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289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289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289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289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289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289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289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289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289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289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289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289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289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289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289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289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289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289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289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289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289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289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289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289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289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289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289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289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289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289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289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289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289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289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289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289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289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289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289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289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290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291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9 AK10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90</v>
      </c>
      <c r="D3" s="64" t="s">
        <v>227</v>
      </c>
      <c r="E3" s="64" t="s">
        <v>64</v>
      </c>
      <c r="F3" s="65">
        <f>IF(ISBLANK(E3),"",VLOOKUP(E3,R_Inf_Proy,2,0))</f>
        <v>2019011000280</v>
      </c>
      <c r="G3" s="65" t="str">
        <f>IF(ISBLANK(E3),"",VLOOKUP(E3,R_Inf_Proy,3,0))</f>
        <v>Sostenibilidad</v>
      </c>
      <c r="H3" s="66" t="s">
        <v>67</v>
      </c>
      <c r="I3" s="66" t="s">
        <v>103</v>
      </c>
      <c r="J3" s="66" t="s">
        <v>130</v>
      </c>
      <c r="K3" s="66" t="s">
        <v>819</v>
      </c>
      <c r="L3" s="67" t="s">
        <v>60</v>
      </c>
      <c r="M3" s="67" t="s">
        <v>61</v>
      </c>
      <c r="N3" s="67" t="s">
        <v>855</v>
      </c>
      <c r="O3" s="68">
        <v>-7140.0</v>
      </c>
      <c r="P3" s="109">
        <v>350.0</v>
      </c>
      <c r="Q3" s="70" t="s">
        <v>728</v>
      </c>
      <c r="R3" s="71" t="s">
        <v>729</v>
      </c>
      <c r="S3" s="71" t="s">
        <v>137</v>
      </c>
      <c r="T3" s="109">
        <v>100.0</v>
      </c>
      <c r="U3" s="109">
        <v>100.0</v>
      </c>
      <c r="V3" s="109">
        <v>100.0</v>
      </c>
      <c r="W3" s="109">
        <v>50.0</v>
      </c>
      <c r="X3" s="70" t="s">
        <v>227</v>
      </c>
      <c r="Y3" s="71" t="s">
        <v>856</v>
      </c>
      <c r="Z3" s="71" t="s">
        <v>755</v>
      </c>
      <c r="AA3" s="71" t="s">
        <v>857</v>
      </c>
      <c r="AB3" s="72" t="s">
        <v>649</v>
      </c>
      <c r="AC3" s="63" t="s">
        <v>302</v>
      </c>
      <c r="AD3" s="63" t="s">
        <v>114</v>
      </c>
      <c r="AE3" s="63" t="s">
        <v>115</v>
      </c>
      <c r="AF3" s="63" t="s">
        <v>116</v>
      </c>
      <c r="AG3" s="63" t="s">
        <v>282</v>
      </c>
      <c r="AH3" s="63"/>
      <c r="AI3" s="73"/>
      <c r="AJ3" s="73"/>
      <c r="AK3" s="74"/>
      <c r="AL3" s="75"/>
      <c r="AM3" s="76" t="str">
        <f t="shared" ref="AM3:AM4" si="1">IF(K3="PRODUCTO",VLOOKUP(I3,#REF!,6,0),IF(K3="GESTIÓN",VLOOKUP(E3,#REF!,14,0),""))</f>
        <v>#REF!</v>
      </c>
      <c r="AO3" s="77" t="str">
        <f t="array" ref="AO3:AQ3">INDEX(R_Proy__ObjEsp,MATCH(E3,L_Proy,0))</f>
        <v>Mejorar la explotación de los recursos pesqueros y de la acuicultura.</v>
      </c>
      <c r="AP3" s="78" t="s">
        <v>68</v>
      </c>
      <c r="AQ3" s="78"/>
      <c r="AR3" s="79"/>
      <c r="AS3" s="78" t="str">
        <f t="array" ref="AS3:AV3">INDEX(R_ObjEsp__Prod,MATCH(H3,L_ObjEsp,0))</f>
        <v>Servicio de ordenación pesquera y de la acuicultura</v>
      </c>
      <c r="AT3" s="80" t="s">
        <v>103</v>
      </c>
      <c r="AU3" s="80"/>
      <c r="AV3" s="80"/>
      <c r="AW3" s="80"/>
      <c r="AX3" s="79"/>
      <c r="AY3" s="78" t="str">
        <f t="array" ref="AY3:BD3">INDEX(R_Pro__Act,MATCH(I3,L_Prod,0))</f>
        <v>Regular el manejo y el ejercicio de la actividad pesquera y de la acuicultura.</v>
      </c>
      <c r="AZ3" s="80" t="s">
        <v>131</v>
      </c>
      <c r="BA3" s="80"/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90</v>
      </c>
      <c r="D4" s="64" t="s">
        <v>227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134</v>
      </c>
      <c r="J4" s="66" t="s">
        <v>156</v>
      </c>
      <c r="K4" s="66" t="s">
        <v>819</v>
      </c>
      <c r="L4" s="67" t="s">
        <v>60</v>
      </c>
      <c r="M4" s="67" t="s">
        <v>61</v>
      </c>
      <c r="N4" s="67" t="s">
        <v>590</v>
      </c>
      <c r="O4" s="68">
        <v>-7140.0</v>
      </c>
      <c r="P4" s="109">
        <v>3.0</v>
      </c>
      <c r="Q4" s="70" t="s">
        <v>858</v>
      </c>
      <c r="R4" s="71"/>
      <c r="S4" s="71" t="s">
        <v>137</v>
      </c>
      <c r="T4" s="109">
        <v>0.0</v>
      </c>
      <c r="U4" s="109">
        <v>1.0</v>
      </c>
      <c r="V4" s="109">
        <v>1.0</v>
      </c>
      <c r="W4" s="109">
        <v>1.0</v>
      </c>
      <c r="X4" s="70" t="s">
        <v>227</v>
      </c>
      <c r="Y4" s="71" t="s">
        <v>856</v>
      </c>
      <c r="Z4" s="71" t="s">
        <v>755</v>
      </c>
      <c r="AA4" s="71" t="s">
        <v>857</v>
      </c>
      <c r="AB4" s="72" t="s">
        <v>649</v>
      </c>
      <c r="AC4" s="63" t="s">
        <v>302</v>
      </c>
      <c r="AD4" s="63" t="s">
        <v>84</v>
      </c>
      <c r="AE4" s="63" t="s">
        <v>115</v>
      </c>
      <c r="AF4" s="63" t="s">
        <v>116</v>
      </c>
      <c r="AG4" s="63" t="s">
        <v>282</v>
      </c>
      <c r="AH4" s="63"/>
      <c r="AI4" s="73"/>
      <c r="AJ4" s="73"/>
      <c r="AK4" s="74"/>
      <c r="AL4" s="75"/>
      <c r="AM4" s="76" t="str">
        <f t="shared" si="1"/>
        <v>#REF!</v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Desarrollar acciones de extensión rural a través de las estaciones de acuicultura</v>
      </c>
      <c r="AZ4" s="80" t="s">
        <v>157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114">
        <v>3.0</v>
      </c>
      <c r="C5" s="63" t="s">
        <v>90</v>
      </c>
      <c r="D5" s="64" t="s">
        <v>227</v>
      </c>
      <c r="E5" s="64" t="s">
        <v>64</v>
      </c>
      <c r="F5" s="65">
        <f>IF(ISBLANK(E5),"",VLOOKUP(E5,R_Inf_Proy,2,0))</f>
        <v>2019011000280</v>
      </c>
      <c r="G5" s="65" t="s">
        <v>65</v>
      </c>
      <c r="H5" s="66" t="s">
        <v>67</v>
      </c>
      <c r="I5" s="66" t="s">
        <v>133</v>
      </c>
      <c r="J5" s="66" t="s">
        <v>157</v>
      </c>
      <c r="K5" s="66" t="s">
        <v>112</v>
      </c>
      <c r="L5" s="67" t="s">
        <v>60</v>
      </c>
      <c r="M5" s="67" t="s">
        <v>61</v>
      </c>
      <c r="N5" s="67" t="s">
        <v>859</v>
      </c>
      <c r="O5" s="68"/>
      <c r="P5" s="109">
        <v>7000.0</v>
      </c>
      <c r="Q5" s="70" t="s">
        <v>860</v>
      </c>
      <c r="R5" s="71"/>
      <c r="S5" s="71" t="s">
        <v>137</v>
      </c>
      <c r="T5" s="109">
        <v>0.0</v>
      </c>
      <c r="U5" s="109">
        <v>1000.0</v>
      </c>
      <c r="V5" s="109">
        <v>2500.0</v>
      </c>
      <c r="W5" s="109">
        <v>3500.0</v>
      </c>
      <c r="X5" s="70" t="s">
        <v>227</v>
      </c>
      <c r="Y5" s="71" t="s">
        <v>856</v>
      </c>
      <c r="Z5" s="71" t="s">
        <v>755</v>
      </c>
      <c r="AA5" s="71" t="s">
        <v>857</v>
      </c>
      <c r="AB5" s="72" t="s">
        <v>649</v>
      </c>
      <c r="AC5" s="63" t="s">
        <v>302</v>
      </c>
      <c r="AD5" s="63" t="s">
        <v>84</v>
      </c>
      <c r="AE5" s="63" t="s">
        <v>115</v>
      </c>
      <c r="AF5" s="63" t="s">
        <v>116</v>
      </c>
      <c r="AG5" s="63" t="s">
        <v>282</v>
      </c>
      <c r="AH5" s="63"/>
      <c r="AI5" s="73"/>
      <c r="AJ5" s="73"/>
      <c r="AK5" s="74"/>
      <c r="AL5" s="75"/>
      <c r="AM5" s="76"/>
      <c r="AO5" s="77"/>
      <c r="AP5" s="78"/>
      <c r="AQ5" s="78"/>
      <c r="AR5" s="79"/>
      <c r="AS5" s="78"/>
      <c r="AT5" s="80"/>
      <c r="AU5" s="80"/>
      <c r="AV5" s="80"/>
      <c r="AW5" s="80"/>
      <c r="AX5" s="79"/>
      <c r="AY5" s="78"/>
      <c r="AZ5" s="80"/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114">
        <v>4.0</v>
      </c>
      <c r="C6" s="63" t="s">
        <v>90</v>
      </c>
      <c r="D6" s="64" t="s">
        <v>227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67</v>
      </c>
      <c r="I6" s="66" t="s">
        <v>103</v>
      </c>
      <c r="J6" s="66" t="s">
        <v>131</v>
      </c>
      <c r="K6" s="66" t="s">
        <v>819</v>
      </c>
      <c r="L6" s="67" t="s">
        <v>60</v>
      </c>
      <c r="M6" s="67" t="s">
        <v>61</v>
      </c>
      <c r="N6" s="67" t="s">
        <v>861</v>
      </c>
      <c r="O6" s="68">
        <v>-7140.0</v>
      </c>
      <c r="P6" s="109">
        <v>35.0</v>
      </c>
      <c r="Q6" s="70" t="s">
        <v>862</v>
      </c>
      <c r="R6" s="71"/>
      <c r="S6" s="71" t="s">
        <v>137</v>
      </c>
      <c r="T6" s="109">
        <v>5.0</v>
      </c>
      <c r="U6" s="109">
        <v>10.0</v>
      </c>
      <c r="V6" s="109">
        <v>15.0</v>
      </c>
      <c r="W6" s="109">
        <v>5.0</v>
      </c>
      <c r="X6" s="70" t="s">
        <v>227</v>
      </c>
      <c r="Y6" s="71" t="s">
        <v>856</v>
      </c>
      <c r="Z6" s="71" t="s">
        <v>755</v>
      </c>
      <c r="AA6" s="71" t="s">
        <v>857</v>
      </c>
      <c r="AB6" s="72" t="s">
        <v>649</v>
      </c>
      <c r="AC6" s="63" t="s">
        <v>302</v>
      </c>
      <c r="AD6" s="63" t="s">
        <v>84</v>
      </c>
      <c r="AE6" s="63" t="s">
        <v>115</v>
      </c>
      <c r="AF6" s="63" t="s">
        <v>116</v>
      </c>
      <c r="AG6" s="63" t="s">
        <v>282</v>
      </c>
      <c r="AH6" s="63"/>
      <c r="AI6" s="73"/>
      <c r="AJ6" s="73"/>
      <c r="AK6" s="74"/>
      <c r="AL6" s="75"/>
      <c r="AM6" s="76" t="str">
        <f t="shared" ref="AM6:AM9" si="2">IF(K6="PRODUCTO",VLOOKUP(I6,#REF!,6,0),IF(K6="GESTIÓN",VLOOKUP(E6,#REF!,14,0),""))</f>
        <v>#REF!</v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Servicio de ordenación pesquera y de la acuicultura</v>
      </c>
      <c r="AT6" s="80" t="s">
        <v>103</v>
      </c>
      <c r="AU6" s="80"/>
      <c r="AV6" s="80"/>
      <c r="AW6" s="80"/>
      <c r="AX6" s="79"/>
      <c r="AY6" s="78" t="str">
        <f t="array" ref="AY6:BD6">INDEX(R_Pro__Act,MATCH(I6,L_Prod,0))</f>
        <v>Regular el manejo y el ejercicio de la actividad pesquera y de la acuicultura.</v>
      </c>
      <c r="AZ6" s="80" t="s">
        <v>131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114">
        <v>5.0</v>
      </c>
      <c r="C7" s="63" t="s">
        <v>90</v>
      </c>
      <c r="D7" s="64" t="s">
        <v>227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67</v>
      </c>
      <c r="I7" s="66" t="s">
        <v>103</v>
      </c>
      <c r="J7" s="66" t="s">
        <v>131</v>
      </c>
      <c r="K7" s="66" t="s">
        <v>112</v>
      </c>
      <c r="L7" s="67" t="s">
        <v>60</v>
      </c>
      <c r="M7" s="67" t="s">
        <v>61</v>
      </c>
      <c r="N7" s="67" t="s">
        <v>863</v>
      </c>
      <c r="O7" s="81"/>
      <c r="P7" s="109">
        <v>35.0</v>
      </c>
      <c r="Q7" s="70" t="s">
        <v>864</v>
      </c>
      <c r="R7" s="71"/>
      <c r="S7" s="71" t="s">
        <v>137</v>
      </c>
      <c r="T7" s="109">
        <v>4.0</v>
      </c>
      <c r="U7" s="109">
        <v>15.0</v>
      </c>
      <c r="V7" s="109">
        <v>10.0</v>
      </c>
      <c r="W7" s="109">
        <v>6.0</v>
      </c>
      <c r="X7" s="70" t="s">
        <v>227</v>
      </c>
      <c r="Y7" s="71" t="s">
        <v>856</v>
      </c>
      <c r="Z7" s="71" t="s">
        <v>755</v>
      </c>
      <c r="AA7" s="71" t="s">
        <v>857</v>
      </c>
      <c r="AB7" s="72" t="s">
        <v>649</v>
      </c>
      <c r="AC7" s="63" t="s">
        <v>302</v>
      </c>
      <c r="AD7" s="63" t="s">
        <v>84</v>
      </c>
      <c r="AE7" s="63" t="s">
        <v>115</v>
      </c>
      <c r="AF7" s="63" t="s">
        <v>116</v>
      </c>
      <c r="AG7" s="63" t="s">
        <v>282</v>
      </c>
      <c r="AH7" s="63"/>
      <c r="AI7" s="73"/>
      <c r="AJ7" s="73"/>
      <c r="AK7" s="74"/>
      <c r="AL7" s="75"/>
      <c r="AM7" s="76" t="str">
        <f t="shared" si="2"/>
        <v/>
      </c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Servicio de ordenación pesquera y de la acuicultura</v>
      </c>
      <c r="AT7" s="80" t="s">
        <v>103</v>
      </c>
      <c r="AU7" s="80"/>
      <c r="AV7" s="80"/>
      <c r="AW7" s="80"/>
      <c r="AX7" s="79"/>
      <c r="AY7" s="78" t="str">
        <f t="array" ref="AY7:BD7">INDEX(R_Pro__Act,MATCH(I7,L_Prod,0))</f>
        <v>Regular el manejo y el ejercicio de la actividad pesquera y de la acuicultura.</v>
      </c>
      <c r="AZ7" s="80" t="s">
        <v>131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114">
        <v>6.0</v>
      </c>
      <c r="C8" s="63" t="s">
        <v>90</v>
      </c>
      <c r="D8" s="64" t="s">
        <v>227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103</v>
      </c>
      <c r="J8" s="66" t="s">
        <v>103</v>
      </c>
      <c r="K8" s="66" t="s">
        <v>112</v>
      </c>
      <c r="L8" s="67" t="s">
        <v>60</v>
      </c>
      <c r="M8" s="67" t="s">
        <v>61</v>
      </c>
      <c r="N8" s="67" t="s">
        <v>865</v>
      </c>
      <c r="O8" s="81"/>
      <c r="P8" s="68">
        <v>2500.0</v>
      </c>
      <c r="Q8" s="70" t="s">
        <v>866</v>
      </c>
      <c r="R8" s="83"/>
      <c r="S8" s="71" t="s">
        <v>137</v>
      </c>
      <c r="T8" s="109">
        <v>100.0</v>
      </c>
      <c r="U8" s="109">
        <v>750.0</v>
      </c>
      <c r="V8" s="109">
        <v>800.0</v>
      </c>
      <c r="W8" s="109">
        <v>850.0</v>
      </c>
      <c r="X8" s="70" t="s">
        <v>227</v>
      </c>
      <c r="Y8" s="71" t="s">
        <v>856</v>
      </c>
      <c r="Z8" s="71" t="s">
        <v>755</v>
      </c>
      <c r="AA8" s="71" t="s">
        <v>857</v>
      </c>
      <c r="AB8" s="72" t="s">
        <v>649</v>
      </c>
      <c r="AC8" s="63" t="s">
        <v>302</v>
      </c>
      <c r="AD8" s="63" t="s">
        <v>114</v>
      </c>
      <c r="AE8" s="63" t="s">
        <v>115</v>
      </c>
      <c r="AF8" s="63" t="s">
        <v>303</v>
      </c>
      <c r="AG8" s="63" t="s">
        <v>282</v>
      </c>
      <c r="AH8" s="63"/>
      <c r="AI8" s="73"/>
      <c r="AJ8" s="73"/>
      <c r="AK8" s="74"/>
      <c r="AL8" s="75"/>
      <c r="AM8" s="76" t="str">
        <f t="shared" si="2"/>
        <v/>
      </c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Regular el manejo y el ejercicio de la actividad pesquera y de la acuicultura.</v>
      </c>
      <c r="AZ8" s="80" t="s">
        <v>131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84.0" customHeight="1">
      <c r="A9" s="39"/>
      <c r="B9" s="114">
        <v>7.0</v>
      </c>
      <c r="C9" s="63" t="s">
        <v>120</v>
      </c>
      <c r="D9" s="64" t="s">
        <v>227</v>
      </c>
      <c r="E9" s="64" t="s">
        <v>30</v>
      </c>
      <c r="F9" s="65">
        <f>IF(ISBLANK(E9),"",VLOOKUP(E9,R_Inf_Proy,2,0))</f>
        <v>2019011000276</v>
      </c>
      <c r="G9" s="65" t="str">
        <f>IF(ISBLANK(E9),"",VLOOKUP(E9,R_Inf_Proy,3,0))</f>
        <v>Inspección</v>
      </c>
      <c r="H9" s="66" t="s">
        <v>34</v>
      </c>
      <c r="I9" s="66" t="s">
        <v>69</v>
      </c>
      <c r="J9" s="66" t="s">
        <v>69</v>
      </c>
      <c r="K9" s="66" t="s">
        <v>112</v>
      </c>
      <c r="L9" s="67" t="s">
        <v>60</v>
      </c>
      <c r="M9" s="67" t="s">
        <v>61</v>
      </c>
      <c r="N9" s="67" t="s">
        <v>867</v>
      </c>
      <c r="O9" s="81"/>
      <c r="P9" s="109">
        <v>50.0</v>
      </c>
      <c r="Q9" s="70" t="s">
        <v>868</v>
      </c>
      <c r="R9" s="83"/>
      <c r="S9" s="71" t="s">
        <v>137</v>
      </c>
      <c r="T9" s="109">
        <v>10.0</v>
      </c>
      <c r="U9" s="109">
        <v>5.0</v>
      </c>
      <c r="V9" s="109">
        <v>5.0</v>
      </c>
      <c r="W9" s="109">
        <v>30.0</v>
      </c>
      <c r="X9" s="70" t="s">
        <v>227</v>
      </c>
      <c r="Y9" s="71" t="s">
        <v>856</v>
      </c>
      <c r="Z9" s="71" t="s">
        <v>755</v>
      </c>
      <c r="AA9" s="71" t="s">
        <v>857</v>
      </c>
      <c r="AB9" s="72" t="s">
        <v>649</v>
      </c>
      <c r="AC9" s="63" t="s">
        <v>302</v>
      </c>
      <c r="AD9" s="63" t="s">
        <v>53</v>
      </c>
      <c r="AE9" s="63" t="s">
        <v>115</v>
      </c>
      <c r="AF9" s="63" t="s">
        <v>116</v>
      </c>
      <c r="AG9" s="63" t="s">
        <v>282</v>
      </c>
      <c r="AH9" s="63"/>
      <c r="AI9" s="73"/>
      <c r="AJ9" s="73"/>
      <c r="AK9" s="74"/>
      <c r="AL9" s="75"/>
      <c r="AM9" s="76" t="str">
        <f t="shared" si="2"/>
        <v/>
      </c>
      <c r="AO9" s="77" t="str">
        <f t="array" ref="AO9:AQ9">INDEX(R_Proy__ObjEsp,MATCH(E9,L_Proy,0))</f>
        <v>Fortalecer los mecanismos de seguimiento y control de la actividad pesquera y de la acuicultura.</v>
      </c>
      <c r="AP9" s="78" t="s">
        <v>34</v>
      </c>
      <c r="AQ9" s="78"/>
      <c r="AR9" s="79"/>
      <c r="AS9" s="78" t="str">
        <f t="array" ref="AS9:AV9">INDEX(R_ObjEsp__Prod,MATCH(H9,L_ObjEsp,0))</f>
        <v>Servicio de divulgación y socialización</v>
      </c>
      <c r="AT9" s="80"/>
      <c r="AU9" s="80"/>
      <c r="AV9" s="80"/>
      <c r="AW9" s="80"/>
      <c r="AX9" s="79"/>
      <c r="AY9" s="78" t="str">
        <f t="array" ref="AY9:BD9">INDEX(R_Pro__Act,MATCH(I9,L_Prod,0))</f>
        <v>Implementar las estrategias de socialización y Divulgación a la comunidad</v>
      </c>
      <c r="AZ9" s="80" t="s">
        <v>71</v>
      </c>
      <c r="BA9" s="80" t="s">
        <v>72</v>
      </c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114">
        <v>8.0</v>
      </c>
      <c r="C10" s="63"/>
      <c r="D10" s="64"/>
      <c r="E10" s="64"/>
      <c r="F10" s="65"/>
      <c r="G10" s="65"/>
      <c r="H10" s="66"/>
      <c r="I10" s="66"/>
      <c r="J10" s="66"/>
      <c r="K10" s="66" t="s">
        <v>112</v>
      </c>
      <c r="L10" s="67" t="s">
        <v>91</v>
      </c>
      <c r="M10" s="67" t="s">
        <v>61</v>
      </c>
      <c r="N10" s="67" t="s">
        <v>869</v>
      </c>
      <c r="O10" s="84"/>
      <c r="P10" s="109">
        <v>32.0</v>
      </c>
      <c r="Q10" s="70" t="s">
        <v>870</v>
      </c>
      <c r="R10" s="83"/>
      <c r="S10" s="71" t="s">
        <v>137</v>
      </c>
      <c r="T10" s="109">
        <v>0.0</v>
      </c>
      <c r="U10" s="109">
        <v>10.0</v>
      </c>
      <c r="V10" s="109">
        <v>15.0</v>
      </c>
      <c r="W10" s="109">
        <v>7.0</v>
      </c>
      <c r="X10" s="70" t="s">
        <v>227</v>
      </c>
      <c r="Y10" s="71" t="s">
        <v>856</v>
      </c>
      <c r="Z10" s="71" t="s">
        <v>755</v>
      </c>
      <c r="AA10" s="71" t="s">
        <v>857</v>
      </c>
      <c r="AB10" s="72" t="s">
        <v>649</v>
      </c>
      <c r="AC10" s="63" t="s">
        <v>302</v>
      </c>
      <c r="AD10" s="63" t="s">
        <v>53</v>
      </c>
      <c r="AE10" s="63" t="s">
        <v>115</v>
      </c>
      <c r="AF10" s="63"/>
      <c r="AG10" s="63"/>
      <c r="AH10" s="63"/>
      <c r="AI10" s="73"/>
      <c r="AJ10" s="73"/>
      <c r="AK10" s="74"/>
      <c r="AL10" s="75"/>
      <c r="AM10" s="76"/>
      <c r="AO10" s="77"/>
      <c r="AP10" s="78"/>
      <c r="AQ10" s="78"/>
      <c r="AR10" s="79"/>
      <c r="AS10" s="78"/>
      <c r="AT10" s="80"/>
      <c r="AU10" s="80"/>
      <c r="AV10" s="80"/>
      <c r="AW10" s="80"/>
      <c r="AX10" s="79"/>
      <c r="AY10" s="78"/>
      <c r="AZ10" s="80"/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128.25" customHeight="1">
      <c r="A11" s="39"/>
      <c r="B11" s="62">
        <v>9.0</v>
      </c>
      <c r="C11" s="63" t="s">
        <v>120</v>
      </c>
      <c r="D11" s="64" t="s">
        <v>227</v>
      </c>
      <c r="E11" s="64" t="s">
        <v>30</v>
      </c>
      <c r="F11" s="65">
        <f>IF(ISBLANK(E11),"",VLOOKUP(E11,R_Inf_Proy,2,0))</f>
        <v>2019011000276</v>
      </c>
      <c r="G11" s="65" t="str">
        <f>IF(ISBLANK(E11),"",VLOOKUP(E11,R_Inf_Proy,3,0))</f>
        <v>Inspección</v>
      </c>
      <c r="H11" s="66" t="s">
        <v>33</v>
      </c>
      <c r="I11" s="66" t="s">
        <v>35</v>
      </c>
      <c r="J11" s="66" t="s">
        <v>35</v>
      </c>
      <c r="K11" s="66" t="s">
        <v>819</v>
      </c>
      <c r="L11" s="67" t="s">
        <v>60</v>
      </c>
      <c r="M11" s="67" t="s">
        <v>61</v>
      </c>
      <c r="N11" s="67" t="s">
        <v>596</v>
      </c>
      <c r="O11" s="68">
        <v>157.0</v>
      </c>
      <c r="P11" s="68">
        <v>800.0</v>
      </c>
      <c r="Q11" s="70" t="s">
        <v>871</v>
      </c>
      <c r="R11" s="83"/>
      <c r="S11" s="71" t="s">
        <v>137</v>
      </c>
      <c r="T11" s="68">
        <v>250.0</v>
      </c>
      <c r="U11" s="68">
        <v>200.0</v>
      </c>
      <c r="V11" s="68">
        <v>200.0</v>
      </c>
      <c r="W11" s="68">
        <v>150.0</v>
      </c>
      <c r="X11" s="70" t="s">
        <v>227</v>
      </c>
      <c r="Y11" s="71" t="s">
        <v>856</v>
      </c>
      <c r="Z11" s="71" t="s">
        <v>755</v>
      </c>
      <c r="AA11" s="71" t="s">
        <v>857</v>
      </c>
      <c r="AB11" s="72" t="s">
        <v>649</v>
      </c>
      <c r="AC11" s="63" t="s">
        <v>302</v>
      </c>
      <c r="AD11" s="63" t="s">
        <v>53</v>
      </c>
      <c r="AE11" s="63" t="s">
        <v>115</v>
      </c>
      <c r="AF11" s="63" t="s">
        <v>116</v>
      </c>
      <c r="AG11" s="63" t="s">
        <v>282</v>
      </c>
      <c r="AH11" s="63"/>
      <c r="AI11" s="73"/>
      <c r="AJ11" s="73"/>
      <c r="AK11" s="74"/>
      <c r="AL11" s="75"/>
      <c r="AM11" s="76" t="str">
        <f t="shared" ref="AM11:AM100" si="3">IF(K11="PRODUCTO",VLOOKUP(I11,#REF!,6,0),IF(K11="GESTIÓN",VLOOKUP(E11,#REF!,14,0),""))</f>
        <v>#REF!</v>
      </c>
      <c r="AO11" s="77" t="str">
        <f t="array" ref="AO11:AQ11">INDEX(R_Proy__ObjEsp,MATCH(E11,L_Proy,0))</f>
        <v>Fortalecer los mecanismos de seguimiento y control de la actividad pesquera y de la acuicultura.</v>
      </c>
      <c r="AP11" s="78" t="s">
        <v>34</v>
      </c>
      <c r="AQ11" s="78"/>
      <c r="AR11" s="79"/>
      <c r="AS11" s="78" t="str">
        <f t="array" ref="AS11:AV11">INDEX(R_ObjEsp__Prod,MATCH(H11,L_ObjEsp,0))</f>
        <v>Servicio de inspección, vigilancia y control de la pesca y la acuicultura</v>
      </c>
      <c r="AT11" s="80"/>
      <c r="AU11" s="80"/>
      <c r="AV11" s="80"/>
      <c r="AW11" s="80"/>
      <c r="AX11" s="79"/>
      <c r="AY11" s="78" t="str">
        <f t="array" ref="AY11:BD11">INDEX(R_Pro__Act,MATCH(I11,L_Prod,0))</f>
        <v>Realizar seguimiento y actualización al registro general de pesca.</v>
      </c>
      <c r="AZ11" s="80" t="s">
        <v>37</v>
      </c>
      <c r="BA11" s="80" t="s">
        <v>38</v>
      </c>
      <c r="BB11" s="80" t="s">
        <v>39</v>
      </c>
      <c r="BC11" s="80" t="s">
        <v>40</v>
      </c>
      <c r="BD11" s="80" t="s">
        <v>41</v>
      </c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 t="s">
        <v>59</v>
      </c>
      <c r="D12" s="64" t="s">
        <v>227</v>
      </c>
      <c r="E12" s="64" t="s">
        <v>124</v>
      </c>
      <c r="F12" s="65">
        <f>IF(ISBLANK(E12),"",VLOOKUP(E12,R_Inf_Proy,2,0))</f>
        <v>2019011000277</v>
      </c>
      <c r="G12" s="65" t="str">
        <f>IF(ISBLANK(E12),"",VLOOKUP(E12,R_Inf_Proy,3,0))</f>
        <v>Investigación</v>
      </c>
      <c r="H12" s="66" t="s">
        <v>129</v>
      </c>
      <c r="I12" s="66" t="s">
        <v>224</v>
      </c>
      <c r="J12" s="66" t="s">
        <v>224</v>
      </c>
      <c r="K12" s="66" t="s">
        <v>112</v>
      </c>
      <c r="L12" s="67" t="s">
        <v>60</v>
      </c>
      <c r="M12" s="67" t="s">
        <v>61</v>
      </c>
      <c r="N12" s="67" t="s">
        <v>872</v>
      </c>
      <c r="O12" s="81"/>
      <c r="P12" s="68">
        <v>18.0</v>
      </c>
      <c r="Q12" s="70" t="s">
        <v>873</v>
      </c>
      <c r="R12" s="83"/>
      <c r="S12" s="71" t="s">
        <v>137</v>
      </c>
      <c r="T12" s="68">
        <v>0.0</v>
      </c>
      <c r="U12" s="68">
        <v>6.0</v>
      </c>
      <c r="V12" s="68">
        <v>6.0</v>
      </c>
      <c r="W12" s="68">
        <v>6.0</v>
      </c>
      <c r="X12" s="70" t="s">
        <v>227</v>
      </c>
      <c r="Y12" s="71" t="s">
        <v>856</v>
      </c>
      <c r="Z12" s="71" t="s">
        <v>755</v>
      </c>
      <c r="AA12" s="71" t="s">
        <v>857</v>
      </c>
      <c r="AB12" s="72" t="s">
        <v>649</v>
      </c>
      <c r="AC12" s="63" t="s">
        <v>302</v>
      </c>
      <c r="AD12" s="63" t="s">
        <v>53</v>
      </c>
      <c r="AE12" s="63" t="s">
        <v>187</v>
      </c>
      <c r="AF12" s="63" t="s">
        <v>170</v>
      </c>
      <c r="AG12" s="63" t="s">
        <v>282</v>
      </c>
      <c r="AH12" s="63"/>
      <c r="AI12" s="73"/>
      <c r="AJ12" s="73"/>
      <c r="AK12" s="74"/>
      <c r="AL12" s="75"/>
      <c r="AM12" s="76" t="str">
        <f t="shared" si="3"/>
        <v/>
      </c>
      <c r="AO12" s="77" t="str">
        <f t="array" ref="AO12:AQ12">INDEX(R_Proy__ObjEsp,MATCH(E12,L_Proy,0))</f>
        <v>Aumentar el desarrollo de la acuicultura asociado a la optimización de los procesos productivos.</v>
      </c>
      <c r="AP12" s="78" t="s">
        <v>128</v>
      </c>
      <c r="AQ12" s="78" t="s">
        <v>129</v>
      </c>
      <c r="AR12" s="79"/>
      <c r="AS12" s="78" t="str">
        <f t="array" ref="AS12:AV12">INDEX(R_ObjEsp__Prod,MATCH(H12,L_ObjEsp,0))</f>
        <v>Documentos de investigación</v>
      </c>
      <c r="AT12" s="80"/>
      <c r="AU12" s="80"/>
      <c r="AV12" s="80"/>
      <c r="AW12" s="80"/>
      <c r="AX12" s="79"/>
      <c r="AY12" s="78" t="str">
        <f t="array" ref="AY12:BD12">INDEX(R_Pro__Act,MATCH(I12,L_Prod,0))</f>
        <v>Evaluar el estado de aprovechamiento de los recursos pesqueros marinos, continentales y ornamentales en las cuencas hidrográficas del país</v>
      </c>
      <c r="AZ12" s="80" t="s">
        <v>309</v>
      </c>
      <c r="BA12" s="80" t="s">
        <v>310</v>
      </c>
      <c r="BB12" s="80" t="s">
        <v>311</v>
      </c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114">
        <v>11.0</v>
      </c>
      <c r="C13" s="63" t="s">
        <v>59</v>
      </c>
      <c r="D13" s="64" t="s">
        <v>227</v>
      </c>
      <c r="E13" s="64" t="s">
        <v>124</v>
      </c>
      <c r="F13" s="65">
        <f>IF(ISBLANK(E13),"",VLOOKUP(E13,R_Inf_Proy,2,0))</f>
        <v>2019011000277</v>
      </c>
      <c r="G13" s="65" t="str">
        <f>IF(ISBLANK(E13),"",VLOOKUP(E13,R_Inf_Proy,3,0))</f>
        <v>Investigación</v>
      </c>
      <c r="H13" s="66" t="s">
        <v>129</v>
      </c>
      <c r="I13" s="66" t="s">
        <v>224</v>
      </c>
      <c r="J13" s="66" t="s">
        <v>224</v>
      </c>
      <c r="K13" s="66" t="s">
        <v>112</v>
      </c>
      <c r="L13" s="67" t="s">
        <v>60</v>
      </c>
      <c r="M13" s="67" t="s">
        <v>61</v>
      </c>
      <c r="N13" s="67" t="s">
        <v>872</v>
      </c>
      <c r="O13" s="81"/>
      <c r="P13" s="68">
        <v>22.0</v>
      </c>
      <c r="Q13" s="70" t="s">
        <v>874</v>
      </c>
      <c r="R13" s="83"/>
      <c r="S13" s="71" t="s">
        <v>137</v>
      </c>
      <c r="T13" s="68">
        <v>4.0</v>
      </c>
      <c r="U13" s="68">
        <v>7.0</v>
      </c>
      <c r="V13" s="68">
        <v>7.0</v>
      </c>
      <c r="W13" s="68">
        <v>4.0</v>
      </c>
      <c r="X13" s="70" t="s">
        <v>227</v>
      </c>
      <c r="Y13" s="71" t="s">
        <v>856</v>
      </c>
      <c r="Z13" s="71" t="s">
        <v>755</v>
      </c>
      <c r="AA13" s="71" t="s">
        <v>857</v>
      </c>
      <c r="AB13" s="72" t="s">
        <v>649</v>
      </c>
      <c r="AC13" s="63" t="s">
        <v>302</v>
      </c>
      <c r="AD13" s="63" t="s">
        <v>53</v>
      </c>
      <c r="AE13" s="63" t="s">
        <v>187</v>
      </c>
      <c r="AF13" s="63" t="s">
        <v>170</v>
      </c>
      <c r="AG13" s="63" t="s">
        <v>282</v>
      </c>
      <c r="AH13" s="85"/>
      <c r="AI13" s="73"/>
      <c r="AJ13" s="73"/>
      <c r="AK13" s="74"/>
      <c r="AL13" s="75"/>
      <c r="AM13" s="76" t="str">
        <f t="shared" si="3"/>
        <v/>
      </c>
      <c r="AO13" s="77" t="str">
        <f t="array" ref="AO13:AQ13">INDEX(R_Proy__ObjEsp,MATCH(E13,L_Proy,0))</f>
        <v>Aumentar el desarrollo de la acuicultura asociado a la optimización de los procesos productivos.</v>
      </c>
      <c r="AP13" s="78" t="s">
        <v>128</v>
      </c>
      <c r="AQ13" s="78" t="s">
        <v>129</v>
      </c>
      <c r="AR13" s="79"/>
      <c r="AS13" s="78" t="str">
        <f t="array" ref="AS13:AV13">INDEX(R_ObjEsp__Prod,MATCH(H13,L_ObjEsp,0))</f>
        <v>Documentos de investigación</v>
      </c>
      <c r="AT13" s="80"/>
      <c r="AU13" s="80"/>
      <c r="AV13" s="80"/>
      <c r="AW13" s="80"/>
      <c r="AX13" s="79"/>
      <c r="AY13" s="78" t="str">
        <f t="array" ref="AY13:BD13">INDEX(R_Pro__Act,MATCH(I13,L_Prod,0))</f>
        <v>Evaluar el estado de aprovechamiento de los recursos pesqueros marinos, continentales y ornamentales en las cuencas hidrográficas del país</v>
      </c>
      <c r="AZ13" s="80" t="s">
        <v>309</v>
      </c>
      <c r="BA13" s="80" t="s">
        <v>310</v>
      </c>
      <c r="BB13" s="80" t="s">
        <v>311</v>
      </c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13.0</v>
      </c>
      <c r="C14" s="85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86"/>
      <c r="I14" s="86"/>
      <c r="J14" s="86"/>
      <c r="K14" s="66"/>
      <c r="L14" s="87"/>
      <c r="M14" s="87"/>
      <c r="N14" s="8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85"/>
      <c r="AD14" s="85"/>
      <c r="AE14" s="85"/>
      <c r="AF14" s="85"/>
      <c r="AG14" s="85"/>
      <c r="AH14" s="85"/>
      <c r="AI14" s="73"/>
      <c r="AJ14" s="73"/>
      <c r="AK14" s="74"/>
      <c r="AL14" s="75"/>
      <c r="AM14" s="76" t="str">
        <f t="shared" si="3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14.0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3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15.0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3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16.0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3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17.0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3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18.0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3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19.0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3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20.0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3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21.0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3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22.0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3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23.0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3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24.0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3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25.0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3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26.0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3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27.0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3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28.0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3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29.0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3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30.0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3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31.0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3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32.0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3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33.0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3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34.0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3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35.0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3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36.0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3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37.0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3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38.0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3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39.0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3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40.0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3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41.0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3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42.0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3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43.0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3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44.0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3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45.0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3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46.0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3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47.0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3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48.0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3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49.0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3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50.0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3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51.0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3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52.0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3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53.0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3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54.0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3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55.0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3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56.0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3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57.0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3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58.0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3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59.0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3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60.0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3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61.0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3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62.0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3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63.0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3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64.0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3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65.0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3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66.0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3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67.0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3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68.0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3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69.0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3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70.0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3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71.0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3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72.0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3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73.0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3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74.0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3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75.0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3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76.0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3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77.0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3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78.0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3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79.0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3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80.0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3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81.0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3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82.0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3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83.0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3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84.0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3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85.0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3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86.0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3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87.0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3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88.0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3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89.0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3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90.0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3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91.0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3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92.0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3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93.0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3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94.0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3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95.0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3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96.0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3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97.0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 t="str">
        <f>IF(K98="PRODUCTO",RIGHT(VLOOKUP(I98,R_Ind_Prod,2,0),LEN(VLOOKUP(I98,R_Ind_Prod,2,0))-12),IF(K98="GESTIÓN",RIGHT(VLOOKUP(E98,R_Ind_Gest,12,0),LEN(VLOOKUP(E98,R_Ind_Gest,12,0))-11),""))</f>
        <v/>
      </c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3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98.0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3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99.0</v>
      </c>
      <c r="C100" s="63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3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88">
        <v>100.0</v>
      </c>
      <c r="C101" s="89"/>
      <c r="D101" s="90"/>
      <c r="E101" s="90"/>
      <c r="F101" s="91" t="str">
        <f>IF(ISBLANK(E101),"",VLOOKUP(E101,R_Inf_Proy,2,0))</f>
        <v/>
      </c>
      <c r="G101" s="91" t="str">
        <f>IF(ISBLANK(E101),"",VLOOKUP(E101,R_Inf_Proy,3,0))</f>
        <v/>
      </c>
      <c r="H101" s="92"/>
      <c r="I101" s="92"/>
      <c r="J101" s="92"/>
      <c r="K101" s="93"/>
      <c r="L101" s="94"/>
      <c r="M101" s="94"/>
      <c r="N101" s="94" t="str">
        <f>IF(K101="PRODUCTO",RIGHT(VLOOKUP(I101,R_Ind_Prod,2,0),LEN(VLOOKUP(I101,R_Ind_Prod,2,0))-12),IF(K101="GESTIÓN",RIGHT(VLOOKUP(E101,R_Ind_Gest,12,0),LEN(VLOOKUP(E101,R_Ind_Gest,12,0))-11),""))</f>
        <v/>
      </c>
      <c r="O101" s="95"/>
      <c r="P101" s="96"/>
      <c r="Q101" s="97"/>
      <c r="R101" s="98"/>
      <c r="S101" s="98"/>
      <c r="T101" s="95"/>
      <c r="U101" s="95"/>
      <c r="V101" s="95"/>
      <c r="W101" s="95"/>
      <c r="X101" s="97"/>
      <c r="Y101" s="98"/>
      <c r="Z101" s="98"/>
      <c r="AA101" s="98"/>
      <c r="AB101" s="99"/>
      <c r="AC101" s="89"/>
      <c r="AD101" s="89"/>
      <c r="AE101" s="89"/>
      <c r="AF101" s="89"/>
      <c r="AG101" s="89"/>
      <c r="AH101" s="89"/>
      <c r="AI101" s="99"/>
      <c r="AJ101" s="99"/>
      <c r="AK101" s="100"/>
      <c r="AL101" s="101"/>
      <c r="AM101" s="102"/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15.75" customHeight="1">
      <c r="A102" s="44"/>
      <c r="B102" s="44"/>
      <c r="C102" s="103"/>
      <c r="D102" s="44"/>
      <c r="E102" s="44"/>
      <c r="F102" s="44"/>
      <c r="G102" s="44"/>
      <c r="H102" s="44"/>
      <c r="I102" s="44"/>
      <c r="J102" s="44"/>
      <c r="K102" s="44"/>
      <c r="L102" s="104"/>
      <c r="M102" s="104"/>
      <c r="N102" s="104"/>
      <c r="O102" s="105"/>
      <c r="P102" s="105"/>
      <c r="Q102" s="44"/>
      <c r="R102" s="104"/>
      <c r="S102" s="104"/>
      <c r="T102" s="105"/>
      <c r="U102" s="105"/>
      <c r="V102" s="105"/>
      <c r="W102" s="105"/>
      <c r="X102" s="44"/>
      <c r="Y102" s="104"/>
      <c r="Z102" s="104"/>
      <c r="AA102" s="104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6"/>
      <c r="AM102" s="107"/>
    </row>
  </sheetData>
  <customSheetViews>
    <customSheetView guid="{53D55F53-C764-4421-A3EC-48DE59138C30}" filter="1" showAutoFilter="1">
      <autoFilter ref="$D$2:$BF$101"/>
    </customSheetView>
  </customSheetViews>
  <conditionalFormatting sqref="P3">
    <cfRule type="expression" dxfId="0" priority="1">
      <formula>SUM(T3:W3)&lt;&gt;P3</formula>
    </cfRule>
  </conditionalFormatting>
  <conditionalFormatting sqref="P4:P99 P101">
    <cfRule type="expression" dxfId="0" priority="2">
      <formula>SUM(T4:W4)&lt;&gt;P4</formula>
    </cfRule>
  </conditionalFormatting>
  <conditionalFormatting sqref="P100">
    <cfRule type="expression" dxfId="0" priority="3">
      <formula>SUM(T100:W100)&lt;&gt;P100</formula>
    </cfRule>
  </conditionalFormatting>
  <dataValidations>
    <dataValidation type="list" allowBlank="1" sqref="AF3:AF101">
      <formula1>l_Poli</formula1>
    </dataValidation>
    <dataValidation type="custom" allowBlank="1" showDropDown="1" sqref="AL3:AL101">
      <formula1>OR(NOT(ISERROR(DATEVALUE(AL3))), AND(ISNUMBER(AL3), LEFT(CELL("format", AL3))="D"))</formula1>
    </dataValidation>
    <dataValidation type="list" allowBlank="1" sqref="S3:S101">
      <formula1>L_Ind_Peri</formula1>
    </dataValidation>
    <dataValidation type="list" allowBlank="1" sqref="AG3:AG101">
      <formula1>l_ODS</formula1>
    </dataValidation>
    <dataValidation type="list" allowBlank="1" sqref="D3:D101">
      <formula1>L_Area</formula1>
    </dataValidation>
    <dataValidation type="list" allowBlank="1" showInputMessage="1" showErrorMessage="1" prompt="Seleccionar producto valido para el proyecto" sqref="J3:J101">
      <formula1>AY3:BD3</formula1>
    </dataValidation>
    <dataValidation type="list" allowBlank="1" showInputMessage="1" showErrorMessage="1" prompt="Seleccionar producto valido para el proyecto" sqref="H3:H101">
      <formula1>AO3:AQ3</formula1>
    </dataValidation>
    <dataValidation type="list" allowBlank="1" sqref="L3:L101">
      <formula1>L_Cat</formula1>
    </dataValidation>
    <dataValidation type="list" allowBlank="1" sqref="AC3:AC101">
      <formula1>l_Clas</formula1>
    </dataValidation>
    <dataValidation type="list" allowBlank="1" sqref="AE3:AE101">
      <formula1>l_Dim</formula1>
    </dataValidation>
    <dataValidation type="list" allowBlank="1" sqref="AJ3:AK13 AK14:AK101">
      <formula1>#REF!</formula1>
    </dataValidation>
    <dataValidation type="list" allowBlank="1" sqref="E3:E101">
      <formula1>L_Proy</formula1>
    </dataValidation>
    <dataValidation type="list" allowBlank="1" sqref="K3:K101">
      <formula1>L_Ind_Tipo</formula1>
    </dataValidation>
    <dataValidation type="list" allowBlank="1" sqref="AH3:AH101">
      <formula1>L_Dere</formula1>
    </dataValidation>
    <dataValidation type="list" allowBlank="1" showErrorMessage="1" sqref="C3:C101">
      <formula1>L_Proc</formula1>
    </dataValidation>
    <dataValidation type="list" allowBlank="1" sqref="M3:M101">
      <formula1>L_Uni</formula1>
    </dataValidation>
    <dataValidation type="list" allowBlank="1" sqref="AD3:AD101">
      <formula1>l_ObjIns</formula1>
    </dataValidation>
    <dataValidation type="list" allowBlank="1" showInputMessage="1" showErrorMessage="1" prompt="Seleccionar producto valido para el proyecto" sqref="I3:I101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292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293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293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67.5" customHeight="1">
      <c r="A3" s="39"/>
      <c r="B3" s="62">
        <v>1.0</v>
      </c>
      <c r="C3" s="63" t="s">
        <v>120</v>
      </c>
      <c r="D3" s="64" t="s">
        <v>261</v>
      </c>
      <c r="E3" s="64" t="s">
        <v>30</v>
      </c>
      <c r="F3" s="65">
        <f>IF(ISBLANK(E3),"",VLOOKUP(E3,R_Inf_Proy,2,0))</f>
        <v>2019011000276</v>
      </c>
      <c r="G3" s="65" t="str">
        <f>IF(ISBLANK(E3),"",VLOOKUP(E3,R_Inf_Proy,3,0))</f>
        <v>Inspección</v>
      </c>
      <c r="H3" s="66" t="s">
        <v>33</v>
      </c>
      <c r="I3" s="66" t="s">
        <v>35</v>
      </c>
      <c r="J3" s="66" t="s">
        <v>40</v>
      </c>
      <c r="K3" s="66" t="s">
        <v>82</v>
      </c>
      <c r="L3" s="67" t="s">
        <v>60</v>
      </c>
      <c r="M3" s="67" t="s">
        <v>61</v>
      </c>
      <c r="N3" s="67" t="s">
        <v>875</v>
      </c>
      <c r="O3" s="68">
        <v>157.0</v>
      </c>
      <c r="P3" s="109">
        <v>400.0</v>
      </c>
      <c r="Q3" s="70" t="s">
        <v>876</v>
      </c>
      <c r="R3" s="113" t="s">
        <v>877</v>
      </c>
      <c r="S3" s="71" t="s">
        <v>137</v>
      </c>
      <c r="T3" s="109">
        <v>100.0</v>
      </c>
      <c r="U3" s="109">
        <v>140.0</v>
      </c>
      <c r="V3" s="109">
        <v>140.0</v>
      </c>
      <c r="W3" s="109">
        <v>20.0</v>
      </c>
      <c r="X3" s="70" t="s">
        <v>878</v>
      </c>
      <c r="Y3" s="71" t="s">
        <v>879</v>
      </c>
      <c r="Z3" s="71" t="s">
        <v>880</v>
      </c>
      <c r="AA3" s="71" t="s">
        <v>881</v>
      </c>
      <c r="AB3" s="72" t="s">
        <v>464</v>
      </c>
      <c r="AC3" s="63" t="s">
        <v>231</v>
      </c>
      <c r="AD3" s="63" t="s">
        <v>53</v>
      </c>
      <c r="AE3" s="63" t="s">
        <v>85</v>
      </c>
      <c r="AF3" s="63" t="s">
        <v>291</v>
      </c>
      <c r="AG3" s="63" t="s">
        <v>217</v>
      </c>
      <c r="AH3" s="63" t="s">
        <v>62</v>
      </c>
      <c r="AI3" s="73"/>
      <c r="AJ3" s="72" t="s">
        <v>882</v>
      </c>
      <c r="AK3" s="74"/>
      <c r="AL3" s="75"/>
      <c r="AM3" s="76" t="str">
        <f t="shared" ref="AM3:AM100" si="1">IF(K3="PRODUCTO",VLOOKUP(I3,#REF!,6,0),IF(K3="GESTIÓN",VLOOKUP(E3,#REF!,14,0),""))</f>
        <v/>
      </c>
      <c r="AN3" s="294"/>
      <c r="AO3" s="77" t="str">
        <f t="array" ref="AO3:AQ3">INDEX(R_Proy__ObjEsp,MATCH(E3,L_Proy,0))</f>
        <v>Fortalecer los mecanismos de seguimiento y control de la actividad pesquera y de la acuicultura.</v>
      </c>
      <c r="AP3" s="78" t="s">
        <v>34</v>
      </c>
      <c r="AQ3" s="78"/>
      <c r="AR3" s="79"/>
      <c r="AS3" s="78" t="str">
        <f t="array" ref="AS3:AV3">INDEX(R_ObjEsp__Prod,MATCH(H3,L_ObjEsp,0))</f>
        <v>Servicio de inspección, vigilancia y control de la pesca y la acuicultura</v>
      </c>
      <c r="AT3" s="80"/>
      <c r="AU3" s="80"/>
      <c r="AV3" s="80"/>
      <c r="AW3" s="80"/>
      <c r="AX3" s="79"/>
      <c r="AY3" s="78" t="str">
        <f t="array" ref="AY3:BD3">INDEX(R_Pro__Act,MATCH(I3,L_Prod,0))</f>
        <v>Realizar seguimiento y actualización al registro general de pesca.</v>
      </c>
      <c r="AZ3" s="80" t="s">
        <v>37</v>
      </c>
      <c r="BA3" s="80" t="s">
        <v>38</v>
      </c>
      <c r="BB3" s="80" t="s">
        <v>39</v>
      </c>
      <c r="BC3" s="80" t="s">
        <v>40</v>
      </c>
      <c r="BD3" s="80" t="s">
        <v>41</v>
      </c>
      <c r="BE3" s="79"/>
      <c r="BF3" s="79"/>
      <c r="BG3" s="79"/>
      <c r="BH3" s="79"/>
      <c r="BI3" s="79"/>
      <c r="BJ3" s="79"/>
      <c r="BK3" s="79"/>
      <c r="BL3" s="79"/>
      <c r="BM3" s="79"/>
    </row>
    <row r="4" ht="83.25" customHeight="1">
      <c r="A4" s="39"/>
      <c r="B4" s="62">
        <v>2.0</v>
      </c>
      <c r="C4" s="63" t="s">
        <v>90</v>
      </c>
      <c r="D4" s="64" t="s">
        <v>261</v>
      </c>
      <c r="E4" s="64" t="s">
        <v>30</v>
      </c>
      <c r="F4" s="65">
        <v>2.01901100028E12</v>
      </c>
      <c r="G4" s="65" t="s">
        <v>65</v>
      </c>
      <c r="H4" s="66" t="s">
        <v>68</v>
      </c>
      <c r="I4" s="66" t="s">
        <v>135</v>
      </c>
      <c r="J4" s="66" t="s">
        <v>130</v>
      </c>
      <c r="K4" s="66" t="s">
        <v>112</v>
      </c>
      <c r="L4" s="67" t="s">
        <v>60</v>
      </c>
      <c r="M4" s="67" t="s">
        <v>61</v>
      </c>
      <c r="N4" s="67" t="s">
        <v>867</v>
      </c>
      <c r="O4" s="81"/>
      <c r="P4" s="109">
        <v>268.0</v>
      </c>
      <c r="Q4" s="70" t="s">
        <v>883</v>
      </c>
      <c r="R4" s="113" t="s">
        <v>884</v>
      </c>
      <c r="S4" s="71" t="s">
        <v>885</v>
      </c>
      <c r="T4" s="109">
        <v>80.0</v>
      </c>
      <c r="U4" s="109">
        <v>80.0</v>
      </c>
      <c r="V4" s="109">
        <v>80.0</v>
      </c>
      <c r="W4" s="109">
        <v>28.0</v>
      </c>
      <c r="X4" s="70" t="s">
        <v>878</v>
      </c>
      <c r="Y4" s="71" t="s">
        <v>879</v>
      </c>
      <c r="Z4" s="71" t="s">
        <v>880</v>
      </c>
      <c r="AA4" s="71" t="s">
        <v>881</v>
      </c>
      <c r="AB4" s="72" t="s">
        <v>464</v>
      </c>
      <c r="AC4" s="63" t="s">
        <v>231</v>
      </c>
      <c r="AD4" s="63" t="s">
        <v>84</v>
      </c>
      <c r="AE4" s="63" t="s">
        <v>115</v>
      </c>
      <c r="AF4" s="63" t="s">
        <v>116</v>
      </c>
      <c r="AG4" s="63" t="s">
        <v>282</v>
      </c>
      <c r="AH4" s="63" t="s">
        <v>62</v>
      </c>
      <c r="AI4" s="73"/>
      <c r="AJ4" s="72" t="s">
        <v>845</v>
      </c>
      <c r="AK4" s="74"/>
      <c r="AL4" s="75"/>
      <c r="AM4" s="76" t="str">
        <f t="shared" si="1"/>
        <v/>
      </c>
      <c r="AN4" s="294"/>
      <c r="AO4" s="77" t="str">
        <f t="array" ref="AO4:AQ4">INDEX(R_Proy__ObjEsp,MATCH(E4,L_Proy,0))</f>
        <v>Fortalecer los mecanismos de seguimiento y control de la actividad pesquera y de la acuicultura.</v>
      </c>
      <c r="AP4" s="78" t="s">
        <v>34</v>
      </c>
      <c r="AQ4" s="78"/>
      <c r="AR4" s="79"/>
      <c r="AS4" s="78" t="str">
        <f t="array" ref="AS4:AV4">INDEX(R_ObjEsp__Prod,MATCH(H4,L_ObjEsp,0))</f>
        <v>1-Servicios de apoyo a las estaciones de acuicultura</v>
      </c>
      <c r="AT4" s="80" t="s">
        <v>133</v>
      </c>
      <c r="AU4" s="80" t="s">
        <v>134</v>
      </c>
      <c r="AV4" s="80" t="s">
        <v>135</v>
      </c>
      <c r="AW4" s="80"/>
      <c r="AX4" s="79"/>
      <c r="AY4" s="78" t="str">
        <f t="array" ref="AY4:BD4">INDEX(R_Pro__Act,MATCH(I4,L_Prod,0))</f>
        <v>Generar acciones de fomento para la pesca, la acuicultura y sus actividades conexas.</v>
      </c>
      <c r="AZ4" s="80" t="s">
        <v>207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90</v>
      </c>
      <c r="D5" s="64" t="s">
        <v>261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67</v>
      </c>
      <c r="I5" s="66" t="s">
        <v>103</v>
      </c>
      <c r="J5" s="66" t="s">
        <v>130</v>
      </c>
      <c r="K5" s="66" t="s">
        <v>82</v>
      </c>
      <c r="L5" s="67" t="s">
        <v>60</v>
      </c>
      <c r="M5" s="67" t="s">
        <v>61</v>
      </c>
      <c r="N5" s="67" t="s">
        <v>865</v>
      </c>
      <c r="O5" s="81"/>
      <c r="P5" s="68">
        <v>11000.0</v>
      </c>
      <c r="Q5" s="70" t="s">
        <v>886</v>
      </c>
      <c r="R5" s="113" t="s">
        <v>887</v>
      </c>
      <c r="S5" s="71" t="s">
        <v>137</v>
      </c>
      <c r="T5" s="109">
        <v>1000.0</v>
      </c>
      <c r="U5" s="109">
        <v>4500.0</v>
      </c>
      <c r="V5" s="68">
        <v>4500.0</v>
      </c>
      <c r="W5" s="109">
        <v>1000.0</v>
      </c>
      <c r="X5" s="70" t="s">
        <v>878</v>
      </c>
      <c r="Y5" s="71" t="s">
        <v>879</v>
      </c>
      <c r="Z5" s="71" t="s">
        <v>880</v>
      </c>
      <c r="AA5" s="71" t="s">
        <v>881</v>
      </c>
      <c r="AB5" s="72" t="s">
        <v>464</v>
      </c>
      <c r="AC5" s="63" t="s">
        <v>302</v>
      </c>
      <c r="AD5" s="63" t="s">
        <v>114</v>
      </c>
      <c r="AE5" s="63" t="s">
        <v>115</v>
      </c>
      <c r="AF5" s="63" t="s">
        <v>116</v>
      </c>
      <c r="AG5" s="63" t="s">
        <v>282</v>
      </c>
      <c r="AH5" s="63" t="s">
        <v>62</v>
      </c>
      <c r="AI5" s="73"/>
      <c r="AJ5" s="72" t="s">
        <v>845</v>
      </c>
      <c r="AK5" s="74"/>
      <c r="AL5" s="75"/>
      <c r="AM5" s="76" t="str">
        <f t="shared" si="1"/>
        <v/>
      </c>
      <c r="AN5" s="294"/>
      <c r="AO5" s="77" t="str">
        <f t="array" ref="AO5:AQ5">INDEX(R_Proy__ObjEsp,MATCH(E5,L_Proy,0))</f>
        <v>Mejorar la explotación de los recursos pesqueros y de la acuicultura.</v>
      </c>
      <c r="AP5" s="78" t="s">
        <v>68</v>
      </c>
      <c r="AQ5" s="78"/>
      <c r="AR5" s="79"/>
      <c r="AS5" s="78" t="str">
        <f t="array" ref="AS5:AV5">INDEX(R_ObjEsp__Prod,MATCH(H5,L_ObjEsp,0))</f>
        <v>Servicio de ordenación pesquera y de la acuicultura</v>
      </c>
      <c r="AT5" s="80" t="s">
        <v>103</v>
      </c>
      <c r="AU5" s="80"/>
      <c r="AV5" s="80"/>
      <c r="AW5" s="80"/>
      <c r="AX5" s="79"/>
      <c r="AY5" s="78" t="str">
        <f t="array" ref="AY5:BD5">INDEX(R_Pro__Act,MATCH(I5,L_Prod,0))</f>
        <v>Regular el manejo y el ejercicio de la actividad pesquera y de la acuicultura.</v>
      </c>
      <c r="AZ5" s="80" t="s">
        <v>131</v>
      </c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261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68</v>
      </c>
      <c r="I6" s="66" t="s">
        <v>135</v>
      </c>
      <c r="J6" s="66" t="s">
        <v>206</v>
      </c>
      <c r="K6" s="66" t="s">
        <v>112</v>
      </c>
      <c r="L6" s="67" t="s">
        <v>60</v>
      </c>
      <c r="M6" s="67" t="s">
        <v>61</v>
      </c>
      <c r="N6" s="67" t="s">
        <v>888</v>
      </c>
      <c r="O6" s="81"/>
      <c r="P6" s="109">
        <v>300.0</v>
      </c>
      <c r="Q6" s="70" t="s">
        <v>889</v>
      </c>
      <c r="R6" s="113" t="s">
        <v>890</v>
      </c>
      <c r="S6" s="71" t="s">
        <v>137</v>
      </c>
      <c r="T6" s="109">
        <v>75.0</v>
      </c>
      <c r="U6" s="109">
        <v>75.0</v>
      </c>
      <c r="V6" s="109">
        <v>75.0</v>
      </c>
      <c r="W6" s="109">
        <v>75.0</v>
      </c>
      <c r="X6" s="70" t="s">
        <v>878</v>
      </c>
      <c r="Y6" s="71" t="s">
        <v>879</v>
      </c>
      <c r="Z6" s="71" t="s">
        <v>880</v>
      </c>
      <c r="AA6" s="71" t="s">
        <v>881</v>
      </c>
      <c r="AB6" s="72" t="s">
        <v>464</v>
      </c>
      <c r="AC6" s="63" t="s">
        <v>302</v>
      </c>
      <c r="AD6" s="63" t="s">
        <v>114</v>
      </c>
      <c r="AE6" s="63" t="s">
        <v>85</v>
      </c>
      <c r="AF6" s="63" t="s">
        <v>116</v>
      </c>
      <c r="AG6" s="63" t="s">
        <v>217</v>
      </c>
      <c r="AH6" s="63" t="s">
        <v>62</v>
      </c>
      <c r="AI6" s="73"/>
      <c r="AJ6" s="72" t="s">
        <v>845</v>
      </c>
      <c r="AK6" s="74"/>
      <c r="AL6" s="75"/>
      <c r="AM6" s="76" t="str">
        <f t="shared" si="1"/>
        <v/>
      </c>
      <c r="AN6" s="294"/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1-Servicios de apoyo a las estaciones de acuicultura</v>
      </c>
      <c r="AT6" s="80" t="s">
        <v>133</v>
      </c>
      <c r="AU6" s="80" t="s">
        <v>134</v>
      </c>
      <c r="AV6" s="80" t="s">
        <v>135</v>
      </c>
      <c r="AW6" s="80"/>
      <c r="AX6" s="79"/>
      <c r="AY6" s="78" t="str">
        <f t="array" ref="AY6:BD6">INDEX(R_Pro__Act,MATCH(I6,L_Prod,0))</f>
        <v>Generar acciones de fomento para la pesca, la acuicultura y sus actividades conexas.</v>
      </c>
      <c r="AZ6" s="80" t="s">
        <v>207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90</v>
      </c>
      <c r="D7" s="64" t="s">
        <v>261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67</v>
      </c>
      <c r="I7" s="66" t="s">
        <v>103</v>
      </c>
      <c r="J7" s="66" t="s">
        <v>130</v>
      </c>
      <c r="K7" s="66" t="s">
        <v>82</v>
      </c>
      <c r="L7" s="67" t="s">
        <v>60</v>
      </c>
      <c r="M7" s="67" t="s">
        <v>61</v>
      </c>
      <c r="N7" s="121" t="s">
        <v>728</v>
      </c>
      <c r="O7" s="81"/>
      <c r="P7" s="109">
        <v>50.0</v>
      </c>
      <c r="Q7" s="70" t="s">
        <v>729</v>
      </c>
      <c r="R7" s="113" t="s">
        <v>891</v>
      </c>
      <c r="S7" s="71" t="s">
        <v>137</v>
      </c>
      <c r="T7" s="109">
        <v>5.0</v>
      </c>
      <c r="U7" s="109">
        <v>20.0</v>
      </c>
      <c r="V7" s="109">
        <v>20.0</v>
      </c>
      <c r="W7" s="109">
        <v>5.0</v>
      </c>
      <c r="X7" s="70" t="s">
        <v>878</v>
      </c>
      <c r="Y7" s="71" t="s">
        <v>879</v>
      </c>
      <c r="Z7" s="71" t="s">
        <v>880</v>
      </c>
      <c r="AA7" s="71" t="s">
        <v>881</v>
      </c>
      <c r="AB7" s="72" t="s">
        <v>464</v>
      </c>
      <c r="AC7" s="63" t="s">
        <v>302</v>
      </c>
      <c r="AD7" s="63" t="s">
        <v>53</v>
      </c>
      <c r="AE7" s="63" t="s">
        <v>115</v>
      </c>
      <c r="AF7" s="63" t="s">
        <v>116</v>
      </c>
      <c r="AG7" s="63" t="s">
        <v>282</v>
      </c>
      <c r="AH7" s="63" t="s">
        <v>62</v>
      </c>
      <c r="AI7" s="73"/>
      <c r="AJ7" s="72" t="s">
        <v>845</v>
      </c>
      <c r="AK7" s="74"/>
      <c r="AL7" s="75"/>
      <c r="AM7" s="76" t="str">
        <f t="shared" si="1"/>
        <v/>
      </c>
      <c r="AN7" s="294"/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Servicio de ordenación pesquera y de la acuicultura</v>
      </c>
      <c r="AT7" s="80" t="s">
        <v>103</v>
      </c>
      <c r="AU7" s="80"/>
      <c r="AV7" s="80"/>
      <c r="AW7" s="80"/>
      <c r="AX7" s="79"/>
      <c r="AY7" s="78" t="str">
        <f t="array" ref="AY7:BD7">INDEX(R_Pro__Act,MATCH(I7,L_Prod,0))</f>
        <v>Regular el manejo y el ejercicio de la actividad pesquera y de la acuicultura.</v>
      </c>
      <c r="AZ7" s="80" t="s">
        <v>131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90</v>
      </c>
      <c r="D8" s="64" t="s">
        <v>261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103</v>
      </c>
      <c r="J8" s="66" t="s">
        <v>131</v>
      </c>
      <c r="K8" s="66" t="s">
        <v>112</v>
      </c>
      <c r="L8" s="67" t="s">
        <v>121</v>
      </c>
      <c r="M8" s="67" t="s">
        <v>61</v>
      </c>
      <c r="N8" s="67" t="s">
        <v>892</v>
      </c>
      <c r="O8" s="68">
        <v>15.0</v>
      </c>
      <c r="P8" s="68">
        <v>3500.0</v>
      </c>
      <c r="Q8" s="70" t="s">
        <v>893</v>
      </c>
      <c r="R8" s="113" t="s">
        <v>894</v>
      </c>
      <c r="S8" s="71" t="s">
        <v>137</v>
      </c>
      <c r="T8" s="109">
        <v>1000.0</v>
      </c>
      <c r="U8" s="68">
        <v>1000.0</v>
      </c>
      <c r="V8" s="68">
        <v>1000.0</v>
      </c>
      <c r="W8" s="109">
        <v>500.0</v>
      </c>
      <c r="X8" s="70" t="s">
        <v>878</v>
      </c>
      <c r="Y8" s="71" t="s">
        <v>879</v>
      </c>
      <c r="Z8" s="71" t="s">
        <v>880</v>
      </c>
      <c r="AA8" s="71" t="s">
        <v>881</v>
      </c>
      <c r="AB8" s="72" t="s">
        <v>464</v>
      </c>
      <c r="AC8" s="63" t="s">
        <v>302</v>
      </c>
      <c r="AD8" s="63" t="s">
        <v>84</v>
      </c>
      <c r="AE8" s="63" t="s">
        <v>115</v>
      </c>
      <c r="AF8" s="63" t="s">
        <v>116</v>
      </c>
      <c r="AG8" s="63" t="s">
        <v>282</v>
      </c>
      <c r="AH8" s="63" t="s">
        <v>62</v>
      </c>
      <c r="AI8" s="73"/>
      <c r="AJ8" s="72" t="s">
        <v>845</v>
      </c>
      <c r="AK8" s="74"/>
      <c r="AL8" s="75"/>
      <c r="AM8" s="76" t="str">
        <f t="shared" si="1"/>
        <v/>
      </c>
      <c r="AN8" s="294"/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Regular el manejo y el ejercicio de la actividad pesquera y de la acuicultura.</v>
      </c>
      <c r="AZ8" s="80" t="s">
        <v>131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90</v>
      </c>
      <c r="D9" s="64" t="s">
        <v>261</v>
      </c>
      <c r="E9" s="64" t="s">
        <v>64</v>
      </c>
      <c r="F9" s="65">
        <f>IF(ISBLANK(E9),"",VLOOKUP(E9,R_Inf_Proy,2,0))</f>
        <v>2019011000280</v>
      </c>
      <c r="G9" s="65" t="str">
        <f>IF(ISBLANK(E9),"",VLOOKUP(E9,R_Inf_Proy,3,0))</f>
        <v>Sostenibilidad</v>
      </c>
      <c r="H9" s="66" t="s">
        <v>67</v>
      </c>
      <c r="I9" s="66" t="s">
        <v>100</v>
      </c>
      <c r="J9" s="66" t="s">
        <v>101</v>
      </c>
      <c r="K9" s="66" t="s">
        <v>112</v>
      </c>
      <c r="L9" s="67" t="s">
        <v>60</v>
      </c>
      <c r="M9" s="67" t="s">
        <v>61</v>
      </c>
      <c r="N9" s="67" t="s">
        <v>851</v>
      </c>
      <c r="O9" s="84"/>
      <c r="P9" s="109">
        <v>25.0</v>
      </c>
      <c r="Q9" s="70" t="s">
        <v>852</v>
      </c>
      <c r="R9" s="113" t="s">
        <v>853</v>
      </c>
      <c r="S9" s="71" t="s">
        <v>137</v>
      </c>
      <c r="T9" s="109">
        <v>2.0</v>
      </c>
      <c r="U9" s="109">
        <v>9.0</v>
      </c>
      <c r="V9" s="109">
        <v>9.0</v>
      </c>
      <c r="W9" s="109">
        <v>5.0</v>
      </c>
      <c r="X9" s="70" t="s">
        <v>878</v>
      </c>
      <c r="Y9" s="71" t="s">
        <v>879</v>
      </c>
      <c r="Z9" s="71" t="s">
        <v>880</v>
      </c>
      <c r="AA9" s="71" t="s">
        <v>881</v>
      </c>
      <c r="AB9" s="72" t="s">
        <v>464</v>
      </c>
      <c r="AC9" s="63" t="s">
        <v>302</v>
      </c>
      <c r="AD9" s="63" t="s">
        <v>53</v>
      </c>
      <c r="AE9" s="63" t="s">
        <v>115</v>
      </c>
      <c r="AF9" s="63" t="s">
        <v>116</v>
      </c>
      <c r="AG9" s="63" t="s">
        <v>282</v>
      </c>
      <c r="AH9" s="63" t="s">
        <v>62</v>
      </c>
      <c r="AI9" s="72"/>
      <c r="AJ9" s="72" t="s">
        <v>845</v>
      </c>
      <c r="AK9" s="74"/>
      <c r="AL9" s="75"/>
      <c r="AM9" s="76" t="str">
        <f t="shared" si="1"/>
        <v/>
      </c>
      <c r="AN9" s="294"/>
      <c r="AO9" s="77" t="str">
        <f t="array" ref="AO9:AQ9">INDEX(R_Proy__ObjEsp,MATCH(E9,L_Proy,0))</f>
        <v>Mejorar la explotación de los recursos pesqueros y de la acuicultura.</v>
      </c>
      <c r="AP9" s="78" t="s">
        <v>68</v>
      </c>
      <c r="AQ9" s="78"/>
      <c r="AR9" s="79"/>
      <c r="AS9" s="78" t="str">
        <f t="array" ref="AS9:AV9">INDEX(R_ObjEsp__Prod,MATCH(H9,L_ObjEsp,0))</f>
        <v>Servicio de ordenación pesquera y de la acuicultura</v>
      </c>
      <c r="AT9" s="80" t="s">
        <v>103</v>
      </c>
      <c r="AU9" s="80"/>
      <c r="AV9" s="80"/>
      <c r="AW9" s="80"/>
      <c r="AX9" s="79"/>
      <c r="AY9" s="78" t="str">
        <f t="array" ref="AY9:BD9">INDEX(R_Pro__Act,MATCH(I9,L_Prod,0))</f>
        <v>Realizar seguimiento a los acuerdos de ordenación</v>
      </c>
      <c r="AZ9" s="80" t="s">
        <v>102</v>
      </c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94.5" customHeight="1">
      <c r="A10" s="39"/>
      <c r="B10" s="114">
        <v>8.0</v>
      </c>
      <c r="C10" s="63" t="s">
        <v>90</v>
      </c>
      <c r="D10" s="64" t="s">
        <v>261</v>
      </c>
      <c r="E10" s="64" t="s">
        <v>64</v>
      </c>
      <c r="F10" s="65">
        <f>IF(ISBLANK(E10),"",VLOOKUP(E10,R_Inf_Proy,2,0))</f>
        <v>2019011000280</v>
      </c>
      <c r="G10" s="65" t="str">
        <f>IF(ISBLANK(E10),"",VLOOKUP(E10,R_Inf_Proy,3,0))</f>
        <v>Sostenibilidad</v>
      </c>
      <c r="H10" s="66" t="s">
        <v>67</v>
      </c>
      <c r="I10" s="66" t="s">
        <v>100</v>
      </c>
      <c r="J10" s="66" t="s">
        <v>102</v>
      </c>
      <c r="K10" s="66" t="s">
        <v>112</v>
      </c>
      <c r="L10" s="67" t="s">
        <v>60</v>
      </c>
      <c r="M10" s="67" t="s">
        <v>61</v>
      </c>
      <c r="N10" s="67" t="s">
        <v>895</v>
      </c>
      <c r="O10" s="81"/>
      <c r="P10" s="68">
        <v>3.0</v>
      </c>
      <c r="Q10" s="70" t="s">
        <v>778</v>
      </c>
      <c r="R10" s="113" t="s">
        <v>850</v>
      </c>
      <c r="S10" s="71" t="s">
        <v>137</v>
      </c>
      <c r="T10" s="68">
        <v>0.0</v>
      </c>
      <c r="U10" s="68">
        <v>1.0</v>
      </c>
      <c r="V10" s="68">
        <v>1.0</v>
      </c>
      <c r="W10" s="68">
        <v>1.0</v>
      </c>
      <c r="X10" s="70" t="s">
        <v>878</v>
      </c>
      <c r="Y10" s="71" t="s">
        <v>879</v>
      </c>
      <c r="Z10" s="71" t="s">
        <v>880</v>
      </c>
      <c r="AA10" s="71" t="s">
        <v>881</v>
      </c>
      <c r="AB10" s="72" t="s">
        <v>464</v>
      </c>
      <c r="AC10" s="63" t="s">
        <v>302</v>
      </c>
      <c r="AD10" s="63" t="s">
        <v>53</v>
      </c>
      <c r="AE10" s="63" t="s">
        <v>115</v>
      </c>
      <c r="AF10" s="63" t="s">
        <v>116</v>
      </c>
      <c r="AG10" s="63" t="s">
        <v>282</v>
      </c>
      <c r="AH10" s="63" t="s">
        <v>62</v>
      </c>
      <c r="AI10" s="72"/>
      <c r="AJ10" s="72" t="s">
        <v>845</v>
      </c>
      <c r="AK10" s="74"/>
      <c r="AL10" s="75"/>
      <c r="AM10" s="76" t="str">
        <f t="shared" si="1"/>
        <v/>
      </c>
      <c r="AN10" s="294"/>
      <c r="AO10" s="77" t="str">
        <f t="array" ref="AO10:AQ10">INDEX(R_Proy__ObjEsp,MATCH(E10,L_Proy,0))</f>
        <v>Mejorar la explotación de los recursos pesqueros y de la acuicultura.</v>
      </c>
      <c r="AP10" s="78" t="s">
        <v>68</v>
      </c>
      <c r="AQ10" s="78"/>
      <c r="AR10" s="79"/>
      <c r="AS10" s="78" t="str">
        <f t="array" ref="AS10:AV10">INDEX(R_ObjEsp__Prod,MATCH(H10,L_ObjEsp,0))</f>
        <v>Servicio de ordenación pesquera y de la acuicultura</v>
      </c>
      <c r="AT10" s="80" t="s">
        <v>103</v>
      </c>
      <c r="AU10" s="80"/>
      <c r="AV10" s="80"/>
      <c r="AW10" s="80"/>
      <c r="AX10" s="79"/>
      <c r="AY10" s="78" t="str">
        <f t="array" ref="AY10:BD10">INDEX(R_Pro__Act,MATCH(I10,L_Prod,0))</f>
        <v>Realizar seguimiento a los acuerdos de ordenación</v>
      </c>
      <c r="AZ10" s="80" t="s">
        <v>102</v>
      </c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114">
        <v>9.0</v>
      </c>
      <c r="C11" s="63" t="s">
        <v>120</v>
      </c>
      <c r="D11" s="64" t="s">
        <v>261</v>
      </c>
      <c r="E11" s="64" t="s">
        <v>30</v>
      </c>
      <c r="F11" s="65">
        <f>IF(ISBLANK(E11),"",VLOOKUP(E11,R_Inf_Proy,2,0))</f>
        <v>2019011000276</v>
      </c>
      <c r="G11" s="65" t="str">
        <f>IF(ISBLANK(E11),"",VLOOKUP(E11,R_Inf_Proy,3,0))</f>
        <v>Inspección</v>
      </c>
      <c r="H11" s="66" t="s">
        <v>34</v>
      </c>
      <c r="I11" s="66" t="s">
        <v>69</v>
      </c>
      <c r="J11" s="66" t="s">
        <v>70</v>
      </c>
      <c r="K11" s="66" t="s">
        <v>112</v>
      </c>
      <c r="L11" s="67" t="s">
        <v>60</v>
      </c>
      <c r="M11" s="67" t="s">
        <v>61</v>
      </c>
      <c r="N11" s="67" t="s">
        <v>896</v>
      </c>
      <c r="O11" s="81"/>
      <c r="P11" s="68">
        <v>20.0</v>
      </c>
      <c r="Q11" s="70" t="s">
        <v>897</v>
      </c>
      <c r="R11" s="113" t="s">
        <v>853</v>
      </c>
      <c r="S11" s="71" t="s">
        <v>137</v>
      </c>
      <c r="T11" s="68">
        <v>5.0</v>
      </c>
      <c r="U11" s="68">
        <v>5.0</v>
      </c>
      <c r="V11" s="68">
        <v>5.0</v>
      </c>
      <c r="W11" s="68">
        <v>5.0</v>
      </c>
      <c r="X11" s="70" t="s">
        <v>878</v>
      </c>
      <c r="Y11" s="71" t="s">
        <v>879</v>
      </c>
      <c r="Z11" s="71" t="s">
        <v>880</v>
      </c>
      <c r="AA11" s="71" t="s">
        <v>881</v>
      </c>
      <c r="AB11" s="72" t="s">
        <v>464</v>
      </c>
      <c r="AC11" s="63" t="s">
        <v>302</v>
      </c>
      <c r="AD11" s="63" t="s">
        <v>53</v>
      </c>
      <c r="AE11" s="63" t="s">
        <v>115</v>
      </c>
      <c r="AF11" s="63" t="s">
        <v>116</v>
      </c>
      <c r="AG11" s="63" t="s">
        <v>282</v>
      </c>
      <c r="AH11" s="63" t="s">
        <v>252</v>
      </c>
      <c r="AI11" s="73"/>
      <c r="AJ11" s="72" t="s">
        <v>882</v>
      </c>
      <c r="AK11" s="74"/>
      <c r="AL11" s="75"/>
      <c r="AM11" s="76" t="str">
        <f t="shared" si="1"/>
        <v/>
      </c>
      <c r="AN11" s="294"/>
      <c r="AO11" s="77" t="str">
        <f t="array" ref="AO11:AQ11">INDEX(R_Proy__ObjEsp,MATCH(E11,L_Proy,0))</f>
        <v>Fortalecer los mecanismos de seguimiento y control de la actividad pesquera y de la acuicultura.</v>
      </c>
      <c r="AP11" s="78" t="s">
        <v>34</v>
      </c>
      <c r="AQ11" s="78"/>
      <c r="AR11" s="79"/>
      <c r="AS11" s="78" t="str">
        <f t="array" ref="AS11:AV11">INDEX(R_ObjEsp__Prod,MATCH(H11,L_ObjEsp,0))</f>
        <v>Servicio de divulgación y socialización</v>
      </c>
      <c r="AT11" s="80"/>
      <c r="AU11" s="80"/>
      <c r="AV11" s="80"/>
      <c r="AW11" s="80"/>
      <c r="AX11" s="79"/>
      <c r="AY11" s="78" t="str">
        <f t="array" ref="AY11:BD11">INDEX(R_Pro__Act,MATCH(I11,L_Prod,0))</f>
        <v>Implementar las estrategias de socialización y Divulgación a la comunidad</v>
      </c>
      <c r="AZ11" s="80" t="s">
        <v>71</v>
      </c>
      <c r="BA11" s="80" t="s">
        <v>72</v>
      </c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114">
        <v>10.0</v>
      </c>
      <c r="C12" s="63" t="s">
        <v>90</v>
      </c>
      <c r="D12" s="64" t="s">
        <v>182</v>
      </c>
      <c r="E12" s="64" t="s">
        <v>64</v>
      </c>
      <c r="F12" s="65">
        <f>IF(ISBLANK(E12),"",VLOOKUP(E12,R_Inf_Proy,2,0))</f>
        <v>2019011000280</v>
      </c>
      <c r="G12" s="65" t="str">
        <f>IF(ISBLANK(E12),"",VLOOKUP(E12,R_Inf_Proy,3,0))</f>
        <v>Sostenibilidad</v>
      </c>
      <c r="H12" s="70" t="s">
        <v>67</v>
      </c>
      <c r="I12" s="70" t="s">
        <v>103</v>
      </c>
      <c r="J12" s="70" t="s">
        <v>130</v>
      </c>
      <c r="K12" s="70" t="s">
        <v>51</v>
      </c>
      <c r="L12" s="67" t="s">
        <v>60</v>
      </c>
      <c r="M12" s="67" t="s">
        <v>61</v>
      </c>
      <c r="N12" s="67" t="s">
        <v>854</v>
      </c>
      <c r="O12" s="81"/>
      <c r="P12" s="68">
        <v>200.0</v>
      </c>
      <c r="Q12" s="70" t="s">
        <v>759</v>
      </c>
      <c r="R12" s="70" t="s">
        <v>760</v>
      </c>
      <c r="S12" s="71" t="s">
        <v>137</v>
      </c>
      <c r="T12" s="68">
        <v>40.0</v>
      </c>
      <c r="U12" s="68">
        <v>60.0</v>
      </c>
      <c r="V12" s="68">
        <v>60.0</v>
      </c>
      <c r="W12" s="68">
        <v>40.0</v>
      </c>
      <c r="X12" s="70" t="s">
        <v>878</v>
      </c>
      <c r="Y12" s="71" t="s">
        <v>879</v>
      </c>
      <c r="Z12" s="71" t="s">
        <v>880</v>
      </c>
      <c r="AA12" s="71" t="s">
        <v>881</v>
      </c>
      <c r="AB12" s="72" t="s">
        <v>464</v>
      </c>
      <c r="AC12" s="63" t="s">
        <v>302</v>
      </c>
      <c r="AD12" s="63" t="s">
        <v>53</v>
      </c>
      <c r="AE12" s="63" t="s">
        <v>115</v>
      </c>
      <c r="AF12" s="63" t="s">
        <v>116</v>
      </c>
      <c r="AG12" s="63" t="s">
        <v>282</v>
      </c>
      <c r="AH12" s="63" t="s">
        <v>252</v>
      </c>
      <c r="AI12" s="73"/>
      <c r="AJ12" s="72" t="s">
        <v>882</v>
      </c>
      <c r="AK12" s="74"/>
      <c r="AL12" s="75"/>
      <c r="AM12" s="76" t="str">
        <f t="shared" si="1"/>
        <v/>
      </c>
      <c r="AN12" s="294"/>
      <c r="AO12" s="77" t="str">
        <f t="array" ref="AO12:AQ12">INDEX(R_Proy__ObjEsp,MATCH(E12,L_Proy,0))</f>
        <v>Mejorar la explotación de los recursos pesqueros y de la acuicultura.</v>
      </c>
      <c r="AP12" s="78" t="s">
        <v>68</v>
      </c>
      <c r="AQ12" s="78"/>
      <c r="AR12" s="79"/>
      <c r="AS12" s="78" t="str">
        <f t="array" ref="AS12:AV12">INDEX(R_ObjEsp__Prod,MATCH(H12,L_ObjEsp,0))</f>
        <v>Servicio de ordenación pesquera y de la acuicultura</v>
      </c>
      <c r="AT12" s="80" t="s">
        <v>103</v>
      </c>
      <c r="AU12" s="80"/>
      <c r="AV12" s="80"/>
      <c r="AW12" s="80"/>
      <c r="AX12" s="79"/>
      <c r="AY12" s="78" t="str">
        <f t="array" ref="AY12:BD12">INDEX(R_Pro__Act,MATCH(I12,L_Prod,0))</f>
        <v>Regular el manejo y el ejercicio de la actividad pesquera y de la acuicultura.</v>
      </c>
      <c r="AZ12" s="80" t="s">
        <v>131</v>
      </c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12.0</v>
      </c>
      <c r="C13" s="63"/>
      <c r="D13" s="64"/>
      <c r="E13" s="64"/>
      <c r="F13" s="65" t="str">
        <f>IF(ISBLANK(E13),"",VLOOKUP(E13,R_Inf_Proy,2,0))</f>
        <v/>
      </c>
      <c r="G13" s="65" t="str">
        <f>IF(ISBLANK(E13),"",VLOOKUP(E13,R_Inf_Proy,3,0))</f>
        <v/>
      </c>
      <c r="H13" s="66"/>
      <c r="I13" s="66"/>
      <c r="J13" s="66"/>
      <c r="K13" s="66"/>
      <c r="L13" s="67"/>
      <c r="M13" s="67"/>
      <c r="N13" s="67"/>
      <c r="O13" s="81"/>
      <c r="P13" s="81"/>
      <c r="Q13" s="82"/>
      <c r="R13" s="113"/>
      <c r="S13" s="83"/>
      <c r="T13" s="81"/>
      <c r="U13" s="81"/>
      <c r="V13" s="81"/>
      <c r="W13" s="81"/>
      <c r="X13" s="82"/>
      <c r="Y13" s="83"/>
      <c r="Z13" s="83"/>
      <c r="AA13" s="83"/>
      <c r="AB13" s="73"/>
      <c r="AC13" s="63"/>
      <c r="AD13" s="63"/>
      <c r="AE13" s="63"/>
      <c r="AF13" s="63"/>
      <c r="AG13" s="63"/>
      <c r="AH13" s="85"/>
      <c r="AI13" s="73"/>
      <c r="AJ13" s="73"/>
      <c r="AK13" s="74"/>
      <c r="AL13" s="75"/>
      <c r="AM13" s="76" t="str">
        <f t="shared" si="1"/>
        <v/>
      </c>
      <c r="AN13" s="294"/>
      <c r="AO13" s="77" t="str">
        <f t="array" ref="AO13">INDEX(R_Proy__ObjEsp,MATCH(E13,L_Proy,0))</f>
        <v>#N/A</v>
      </c>
      <c r="AP13" s="78"/>
      <c r="AQ13" s="78"/>
      <c r="AR13" s="79"/>
      <c r="AS13" s="78" t="str">
        <f t="array" ref="AS13">INDEX(R_ObjEsp__Prod,MATCH(H13,L_ObjEsp,0))</f>
        <v>#N/A</v>
      </c>
      <c r="AT13" s="80"/>
      <c r="AU13" s="80"/>
      <c r="AV13" s="80"/>
      <c r="AW13" s="80"/>
      <c r="AX13" s="79"/>
      <c r="AY13" s="78" t="str">
        <f t="array" ref="AY13">INDEX(R_Pro__Act,MATCH(I13,L_Prod,0))</f>
        <v>#N/A</v>
      </c>
      <c r="AZ13" s="80"/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13.0</v>
      </c>
      <c r="C14" s="85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86"/>
      <c r="I14" s="86"/>
      <c r="J14" s="86"/>
      <c r="K14" s="66"/>
      <c r="L14" s="87"/>
      <c r="M14" s="87"/>
      <c r="N14" s="87"/>
      <c r="O14" s="81"/>
      <c r="P14" s="81"/>
      <c r="Q14" s="82"/>
      <c r="R14" s="11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85"/>
      <c r="AD14" s="85"/>
      <c r="AE14" s="85"/>
      <c r="AF14" s="85"/>
      <c r="AG14" s="85"/>
      <c r="AH14" s="85"/>
      <c r="AI14" s="73"/>
      <c r="AJ14" s="73"/>
      <c r="AK14" s="74"/>
      <c r="AL14" s="75"/>
      <c r="AM14" s="76" t="str">
        <f t="shared" si="1"/>
        <v/>
      </c>
      <c r="AN14" s="294"/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14.0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11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N15" s="294"/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15.0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11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N16" s="294"/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16.0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11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N17" s="294"/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17.0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11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N18" s="294"/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18.0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11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N19" s="294"/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19.0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11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N20" s="294"/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20.0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N21" s="294"/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21.0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N22" s="294"/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22.0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N23" s="294"/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23.0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N24" s="294"/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24.0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N25" s="294"/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25.0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N26" s="294"/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26.0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N27" s="294"/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27.0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N28" s="294"/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28.0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N29" s="294"/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29.0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N30" s="294"/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30.0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N31" s="294"/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31.0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N32" s="294"/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32.0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N33" s="294"/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33.0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N34" s="294"/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34.0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N35" s="294"/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35.0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N36" s="294"/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36.0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N37" s="294"/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37.0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N38" s="294"/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38.0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N39" s="294"/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39.0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N40" s="294"/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40.0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N41" s="294"/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41.0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N42" s="294"/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42.0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N43" s="294"/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43.0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N44" s="294"/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44.0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N45" s="294"/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45.0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N46" s="294"/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46.0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N47" s="294"/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47.0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N48" s="294"/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48.0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N49" s="294"/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49.0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N50" s="294"/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50.0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N51" s="294"/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51.0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N52" s="294"/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52.0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N53" s="294"/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53.0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N54" s="294"/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54.0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N55" s="294"/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55.0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N56" s="294"/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56.0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N57" s="294"/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57.0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N58" s="294"/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58.0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N59" s="294"/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59.0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N60" s="294"/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60.0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N61" s="294"/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61.0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N62" s="294"/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62.0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N63" s="294"/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63.0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N64" s="294"/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64.0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N65" s="294"/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65.0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N66" s="294"/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66.0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N67" s="294"/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67.0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N68" s="294"/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68.0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N69" s="294"/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69.0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N70" s="294"/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70.0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N71" s="294"/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71.0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N72" s="294"/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72.0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N73" s="294"/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73.0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N74" s="294"/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74.0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N75" s="294"/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75.0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N76" s="294"/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76.0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N77" s="294"/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77.0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N78" s="294"/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78.0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N79" s="294"/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79.0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N80" s="294"/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80.0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N81" s="294"/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81.0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N82" s="294"/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82.0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N83" s="294"/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83.0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N84" s="294"/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84.0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N85" s="294"/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85.0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N86" s="294"/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86.0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N87" s="294"/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87.0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N88" s="294"/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88.0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N89" s="294"/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89.0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N90" s="294"/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90.0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N91" s="294"/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91.0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N92" s="294"/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92.0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N93" s="294"/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93.0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N94" s="294"/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94.0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N95" s="294"/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95.0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N96" s="294"/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96.0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N97" s="294"/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97.0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 t="str">
        <f>IF(K98="PRODUCTO",RIGHT(VLOOKUP(I98,R_Ind_Prod,2,0),LEN(VLOOKUP(I98,R_Ind_Prod,2,0))-12),IF(K98="GESTIÓN",RIGHT(VLOOKUP(E98,R_Ind_Gest,12,0),LEN(VLOOKUP(E98,R_Ind_Gest,12,0))-11),""))</f>
        <v/>
      </c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N98" s="294"/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98.0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N99" s="294"/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99.0</v>
      </c>
      <c r="C100" s="63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N100" s="294"/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88">
        <v>100.0</v>
      </c>
      <c r="C101" s="89"/>
      <c r="D101" s="90"/>
      <c r="E101" s="90"/>
      <c r="F101" s="91" t="str">
        <f>IF(ISBLANK(E101),"",VLOOKUP(E101,R_Inf_Proy,2,0))</f>
        <v/>
      </c>
      <c r="G101" s="91" t="str">
        <f>IF(ISBLANK(E101),"",VLOOKUP(E101,R_Inf_Proy,3,0))</f>
        <v/>
      </c>
      <c r="H101" s="92"/>
      <c r="I101" s="92"/>
      <c r="J101" s="92"/>
      <c r="K101" s="93"/>
      <c r="L101" s="94"/>
      <c r="M101" s="94"/>
      <c r="N101" s="94" t="str">
        <f>IF(K101="PRODUCTO",RIGHT(VLOOKUP(I101,R_Ind_Prod,2,0),LEN(VLOOKUP(I101,R_Ind_Prod,2,0))-12),IF(K101="GESTIÓN",RIGHT(VLOOKUP(E101,R_Ind_Gest,12,0),LEN(VLOOKUP(E101,R_Ind_Gest,12,0))-11),""))</f>
        <v/>
      </c>
      <c r="O101" s="95"/>
      <c r="P101" s="96"/>
      <c r="Q101" s="97"/>
      <c r="R101" s="98"/>
      <c r="S101" s="98"/>
      <c r="T101" s="95"/>
      <c r="U101" s="95"/>
      <c r="V101" s="95"/>
      <c r="W101" s="95"/>
      <c r="X101" s="97"/>
      <c r="Y101" s="98"/>
      <c r="Z101" s="98"/>
      <c r="AA101" s="98"/>
      <c r="AB101" s="99"/>
      <c r="AC101" s="89"/>
      <c r="AD101" s="89"/>
      <c r="AE101" s="89"/>
      <c r="AF101" s="89"/>
      <c r="AG101" s="89"/>
      <c r="AH101" s="89"/>
      <c r="AI101" s="99"/>
      <c r="AJ101" s="99"/>
      <c r="AK101" s="100"/>
      <c r="AL101" s="101"/>
      <c r="AM101" s="102"/>
      <c r="AN101" s="294"/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15.75" customHeight="1">
      <c r="A102" s="293"/>
      <c r="B102" s="293"/>
      <c r="C102" s="295"/>
      <c r="D102" s="293"/>
      <c r="E102" s="293"/>
      <c r="F102" s="293"/>
      <c r="G102" s="293"/>
      <c r="H102" s="293"/>
      <c r="I102" s="293"/>
      <c r="J102" s="293"/>
      <c r="K102" s="293"/>
      <c r="L102" s="296"/>
      <c r="M102" s="296"/>
      <c r="N102" s="296"/>
      <c r="O102" s="297"/>
      <c r="P102" s="297"/>
      <c r="Q102" s="293"/>
      <c r="R102" s="296"/>
      <c r="S102" s="296"/>
      <c r="T102" s="297"/>
      <c r="U102" s="297"/>
      <c r="V102" s="297"/>
      <c r="W102" s="297"/>
      <c r="X102" s="293"/>
      <c r="Y102" s="296"/>
      <c r="Z102" s="296"/>
      <c r="AA102" s="296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8"/>
      <c r="AM102" s="299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</row>
  </sheetData>
  <customSheetViews>
    <customSheetView guid="{53D55F53-C764-4421-A3EC-48DE59138C30}" filter="1" showAutoFilter="1">
      <autoFilter ref="$D$2:$BF$101"/>
    </customSheetView>
  </customSheetViews>
  <conditionalFormatting sqref="P3">
    <cfRule type="expression" dxfId="0" priority="1">
      <formula>SUM(T3:W3)&lt;&gt;P3</formula>
    </cfRule>
  </conditionalFormatting>
  <conditionalFormatting sqref="P4:P99 P101">
    <cfRule type="expression" dxfId="0" priority="2">
      <formula>SUM(T4:W4)&lt;&gt;P4</formula>
    </cfRule>
  </conditionalFormatting>
  <conditionalFormatting sqref="P100">
    <cfRule type="expression" dxfId="0" priority="3">
      <formula>SUM(T100:W100)&lt;&gt;P100</formula>
    </cfRule>
  </conditionalFormatting>
  <dataValidations>
    <dataValidation type="list" allowBlank="1" sqref="AF3:AF101">
      <formula1>l_Poli</formula1>
    </dataValidation>
    <dataValidation type="custom" allowBlank="1" showDropDown="1" sqref="AL3:AL101">
      <formula1>OR(NOT(ISERROR(DATEVALUE(AL3))), AND(ISNUMBER(AL3), LEFT(CELL("format", AL3))="D"))</formula1>
    </dataValidation>
    <dataValidation type="list" allowBlank="1" sqref="S3:S101">
      <formula1>L_Ind_Peri</formula1>
    </dataValidation>
    <dataValidation type="list" allowBlank="1" sqref="AG3:AG101">
      <formula1>l_ODS</formula1>
    </dataValidation>
    <dataValidation type="list" allowBlank="1" sqref="D3:D101">
      <formula1>L_Area</formula1>
    </dataValidation>
    <dataValidation type="list" allowBlank="1" showInputMessage="1" showErrorMessage="1" prompt="Seleccionar producto valido para el proyecto" sqref="J3:J101">
      <formula1>AY3:BD3</formula1>
    </dataValidation>
    <dataValidation type="list" allowBlank="1" showInputMessage="1" showErrorMessage="1" prompt="Seleccionar producto valido para el proyecto" sqref="H3:H101">
      <formula1>AO3:AQ3</formula1>
    </dataValidation>
    <dataValidation type="list" allowBlank="1" sqref="L3:L101">
      <formula1>L_Cat</formula1>
    </dataValidation>
    <dataValidation type="list" allowBlank="1" sqref="AC3:AC101">
      <formula1>l_Clas</formula1>
    </dataValidation>
    <dataValidation type="list" allowBlank="1" sqref="AE3:AE101">
      <formula1>l_Dim</formula1>
    </dataValidation>
    <dataValidation type="list" allowBlank="1" sqref="AK3:AK101">
      <formula1>#REF!</formula1>
    </dataValidation>
    <dataValidation type="list" allowBlank="1" sqref="E3:E101">
      <formula1>L_Proy</formula1>
    </dataValidation>
    <dataValidation type="list" allowBlank="1" sqref="K3:K101">
      <formula1>L_Ind_Tipo</formula1>
    </dataValidation>
    <dataValidation type="list" allowBlank="1" sqref="AH3:AH101">
      <formula1>L_Dere</formula1>
    </dataValidation>
    <dataValidation type="list" allowBlank="1" showErrorMessage="1" sqref="C3:C101">
      <formula1>L_Proc</formula1>
    </dataValidation>
    <dataValidation type="list" allowBlank="1" sqref="M3:M101">
      <formula1>L_Uni</formula1>
    </dataValidation>
    <dataValidation type="list" allowBlank="1" sqref="AD3:AD101">
      <formula1>l_ObjIns</formula1>
    </dataValidation>
    <dataValidation type="list" allowBlank="1" showInputMessage="1" showErrorMessage="1" prompt="Seleccionar producto valido para el proyecto" sqref="I3:I101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23" width="17.29"/>
    <col customWidth="1" min="24" max="26" width="18.86"/>
    <col customWidth="1" min="27" max="27" width="19.71"/>
    <col customWidth="1" min="28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76.5" customHeight="1">
      <c r="A3" s="39"/>
      <c r="B3" s="62">
        <v>1.0</v>
      </c>
      <c r="C3" s="63" t="s">
        <v>120</v>
      </c>
      <c r="D3" s="64" t="s">
        <v>211</v>
      </c>
      <c r="E3" s="64" t="s">
        <v>30</v>
      </c>
      <c r="F3" s="65">
        <f>IF(ISBLANK(E3),"",VLOOKUP(E3,R_Inf_Proy,2,0))</f>
        <v>2019011000276</v>
      </c>
      <c r="G3" s="65" t="str">
        <f>IF(ISBLANK(E3),"",VLOOKUP(E3,R_Inf_Proy,3,0))</f>
        <v>Inspección</v>
      </c>
      <c r="H3" s="66" t="s">
        <v>34</v>
      </c>
      <c r="I3" s="66" t="s">
        <v>69</v>
      </c>
      <c r="J3" s="66" t="s">
        <v>70</v>
      </c>
      <c r="K3" s="66" t="s">
        <v>51</v>
      </c>
      <c r="L3" s="67" t="s">
        <v>121</v>
      </c>
      <c r="M3" s="67" t="s">
        <v>61</v>
      </c>
      <c r="N3" s="67" t="s">
        <v>898</v>
      </c>
      <c r="O3" s="68">
        <v>3582.0</v>
      </c>
      <c r="P3" s="109">
        <v>40.0</v>
      </c>
      <c r="Q3" s="70" t="s">
        <v>899</v>
      </c>
      <c r="R3" s="71" t="s">
        <v>900</v>
      </c>
      <c r="S3" s="71" t="s">
        <v>137</v>
      </c>
      <c r="T3" s="109">
        <v>6.0</v>
      </c>
      <c r="U3" s="109">
        <v>10.0</v>
      </c>
      <c r="V3" s="109">
        <v>12.0</v>
      </c>
      <c r="W3" s="109">
        <v>12.0</v>
      </c>
      <c r="X3" s="70" t="s">
        <v>901</v>
      </c>
      <c r="Y3" s="71" t="s">
        <v>902</v>
      </c>
      <c r="Z3" s="71" t="s">
        <v>903</v>
      </c>
      <c r="AA3" s="71" t="s">
        <v>904</v>
      </c>
      <c r="AB3" s="72" t="s">
        <v>553</v>
      </c>
      <c r="AC3" s="63" t="s">
        <v>302</v>
      </c>
      <c r="AD3" s="63" t="s">
        <v>53</v>
      </c>
      <c r="AE3" s="63" t="s">
        <v>115</v>
      </c>
      <c r="AF3" s="63" t="s">
        <v>116</v>
      </c>
      <c r="AG3" s="63" t="s">
        <v>282</v>
      </c>
      <c r="AH3" s="63" t="s">
        <v>62</v>
      </c>
      <c r="AI3" s="73"/>
      <c r="AJ3" s="73"/>
      <c r="AK3" s="74"/>
      <c r="AL3" s="75"/>
      <c r="AM3" s="76" t="str">
        <f t="shared" ref="AM3:AM101" si="1">IF(K3="PRODUCTO",VLOOKUP(I3,#REF!,6,0),IF(K3="GESTIÓN",VLOOKUP(E3,#REF!,14,0),""))</f>
        <v/>
      </c>
      <c r="AO3" s="77" t="str">
        <f t="array" ref="AO3:AQ3">INDEX(R_Proy__ObjEsp,MATCH(E3,L_Proy,0))</f>
        <v>Fortalecer los mecanismos de seguimiento y control de la actividad pesquera y de la acuicultura.</v>
      </c>
      <c r="AP3" s="78" t="s">
        <v>34</v>
      </c>
      <c r="AQ3" s="78"/>
      <c r="AR3" s="79"/>
      <c r="AS3" s="78" t="str">
        <f t="array" ref="AS3:AV3">INDEX(R_ObjEsp__Prod,MATCH(H3,L_ObjEsp,0))</f>
        <v>Servicio de divulgación y socialización</v>
      </c>
      <c r="AT3" s="80"/>
      <c r="AU3" s="80"/>
      <c r="AV3" s="80"/>
      <c r="AW3" s="80"/>
      <c r="AX3" s="79"/>
      <c r="AY3" s="78" t="str">
        <f t="array" ref="AY3:BD3">INDEX(R_Pro__Act,MATCH(I3,L_Prod,0))</f>
        <v>Implementar las estrategias de socialización y Divulgación a la comunidad</v>
      </c>
      <c r="AZ3" s="80" t="s">
        <v>71</v>
      </c>
      <c r="BA3" s="80" t="s">
        <v>72</v>
      </c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90</v>
      </c>
      <c r="D4" s="64" t="s">
        <v>211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103</v>
      </c>
      <c r="J4" s="66" t="s">
        <v>130</v>
      </c>
      <c r="K4" s="66" t="s">
        <v>82</v>
      </c>
      <c r="L4" s="67" t="s">
        <v>60</v>
      </c>
      <c r="M4" s="67" t="s">
        <v>61</v>
      </c>
      <c r="N4" s="67" t="s">
        <v>905</v>
      </c>
      <c r="O4" s="68">
        <v>-7140.0</v>
      </c>
      <c r="P4" s="109">
        <v>324.0</v>
      </c>
      <c r="Q4" s="269" t="s">
        <v>728</v>
      </c>
      <c r="R4" s="269" t="s">
        <v>729</v>
      </c>
      <c r="S4" s="71" t="s">
        <v>137</v>
      </c>
      <c r="T4" s="109">
        <v>64.0</v>
      </c>
      <c r="U4" s="109">
        <v>80.0</v>
      </c>
      <c r="V4" s="109">
        <v>90.0</v>
      </c>
      <c r="W4" s="109">
        <v>90.0</v>
      </c>
      <c r="X4" s="70" t="s">
        <v>901</v>
      </c>
      <c r="Y4" s="71" t="s">
        <v>902</v>
      </c>
      <c r="Z4" s="71" t="s">
        <v>903</v>
      </c>
      <c r="AA4" s="71" t="s">
        <v>904</v>
      </c>
      <c r="AB4" s="72" t="s">
        <v>553</v>
      </c>
      <c r="AC4" s="63" t="s">
        <v>302</v>
      </c>
      <c r="AD4" s="63" t="s">
        <v>53</v>
      </c>
      <c r="AE4" s="63" t="s">
        <v>115</v>
      </c>
      <c r="AF4" s="63" t="s">
        <v>116</v>
      </c>
      <c r="AG4" s="63" t="s">
        <v>282</v>
      </c>
      <c r="AH4" s="63" t="s">
        <v>62</v>
      </c>
      <c r="AI4" s="73"/>
      <c r="AJ4" s="72"/>
      <c r="AK4" s="74"/>
      <c r="AL4" s="75"/>
      <c r="AM4" s="76" t="str">
        <f t="shared" si="1"/>
        <v/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Regular el manejo y el ejercicio de la actividad pesquera y de la acuicultura.</v>
      </c>
      <c r="AZ4" s="80" t="s">
        <v>131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90</v>
      </c>
      <c r="D5" s="64" t="s">
        <v>211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68</v>
      </c>
      <c r="I5" s="66" t="s">
        <v>135</v>
      </c>
      <c r="J5" s="66" t="s">
        <v>206</v>
      </c>
      <c r="K5" s="66" t="s">
        <v>112</v>
      </c>
      <c r="L5" s="67" t="s">
        <v>60</v>
      </c>
      <c r="M5" s="67" t="s">
        <v>61</v>
      </c>
      <c r="N5" s="67" t="s">
        <v>906</v>
      </c>
      <c r="O5" s="81"/>
      <c r="P5" s="109">
        <v>40.0</v>
      </c>
      <c r="Q5" s="70" t="s">
        <v>907</v>
      </c>
      <c r="R5" s="71" t="s">
        <v>908</v>
      </c>
      <c r="S5" s="71" t="s">
        <v>137</v>
      </c>
      <c r="T5" s="109">
        <v>6.0</v>
      </c>
      <c r="U5" s="109">
        <v>10.0</v>
      </c>
      <c r="V5" s="109">
        <v>15.0</v>
      </c>
      <c r="W5" s="109">
        <v>9.0</v>
      </c>
      <c r="X5" s="70" t="s">
        <v>901</v>
      </c>
      <c r="Y5" s="71" t="s">
        <v>902</v>
      </c>
      <c r="Z5" s="71" t="s">
        <v>903</v>
      </c>
      <c r="AA5" s="71" t="s">
        <v>904</v>
      </c>
      <c r="AB5" s="72" t="s">
        <v>553</v>
      </c>
      <c r="AC5" s="63" t="s">
        <v>302</v>
      </c>
      <c r="AD5" s="63" t="s">
        <v>53</v>
      </c>
      <c r="AE5" s="63" t="s">
        <v>115</v>
      </c>
      <c r="AF5" s="63" t="s">
        <v>116</v>
      </c>
      <c r="AG5" s="63" t="s">
        <v>282</v>
      </c>
      <c r="AH5" s="63" t="s">
        <v>62</v>
      </c>
      <c r="AI5" s="73"/>
      <c r="AJ5" s="72"/>
      <c r="AK5" s="74"/>
      <c r="AL5" s="75"/>
      <c r="AM5" s="76" t="str">
        <f t="shared" si="1"/>
        <v/>
      </c>
      <c r="AO5" s="77" t="str">
        <f t="array" ref="AO5:AQ5">INDEX(R_Proy__ObjEsp,MATCH(E5,L_Proy,0))</f>
        <v>Mejorar la explotación de los recursos pesqueros y de la acuicultura.</v>
      </c>
      <c r="AP5" s="78" t="s">
        <v>68</v>
      </c>
      <c r="AQ5" s="78"/>
      <c r="AR5" s="79"/>
      <c r="AS5" s="78" t="str">
        <f t="array" ref="AS5:AV5">INDEX(R_ObjEsp__Prod,MATCH(H5,L_ObjEsp,0))</f>
        <v>1-Servicios de apoyo a las estaciones de acuicultura</v>
      </c>
      <c r="AT5" s="80" t="s">
        <v>133</v>
      </c>
      <c r="AU5" s="80" t="s">
        <v>134</v>
      </c>
      <c r="AV5" s="80" t="s">
        <v>135</v>
      </c>
      <c r="AW5" s="80"/>
      <c r="AX5" s="79"/>
      <c r="AY5" s="78" t="str">
        <f t="array" ref="AY5:BD5">INDEX(R_Pro__Act,MATCH(I5,L_Prod,0))</f>
        <v>Generar acciones de fomento para la pesca, la acuicultura y sus actividades conexas.</v>
      </c>
      <c r="AZ5" s="80" t="s">
        <v>207</v>
      </c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211</v>
      </c>
      <c r="E6" s="64" t="s">
        <v>64</v>
      </c>
      <c r="F6" s="65">
        <f>IF(ISBLANK(E6),"",VLOOKUP(E6,R_Inf_Proy,2,0))</f>
        <v>2019011000280</v>
      </c>
      <c r="G6" s="65" t="str">
        <f>IF(ISBLANK(E6),"",VLOOKUP(E6,R_Inf_Proy,3,0))</f>
        <v>Sostenibilidad</v>
      </c>
      <c r="H6" s="66" t="s">
        <v>67</v>
      </c>
      <c r="I6" s="66" t="s">
        <v>103</v>
      </c>
      <c r="J6" s="66" t="s">
        <v>131</v>
      </c>
      <c r="K6" s="66" t="s">
        <v>112</v>
      </c>
      <c r="L6" s="67" t="s">
        <v>60</v>
      </c>
      <c r="M6" s="67" t="s">
        <v>61</v>
      </c>
      <c r="N6" s="67" t="s">
        <v>909</v>
      </c>
      <c r="O6" s="81"/>
      <c r="P6" s="109">
        <v>80.0</v>
      </c>
      <c r="Q6" s="70" t="s">
        <v>910</v>
      </c>
      <c r="R6" s="71" t="s">
        <v>900</v>
      </c>
      <c r="S6" s="71" t="s">
        <v>137</v>
      </c>
      <c r="T6" s="109">
        <v>12.0</v>
      </c>
      <c r="U6" s="109">
        <v>23.0</v>
      </c>
      <c r="V6" s="109">
        <v>22.0</v>
      </c>
      <c r="W6" s="109">
        <v>23.0</v>
      </c>
      <c r="X6" s="70" t="s">
        <v>901</v>
      </c>
      <c r="Y6" s="71" t="s">
        <v>902</v>
      </c>
      <c r="Z6" s="71" t="s">
        <v>903</v>
      </c>
      <c r="AA6" s="71" t="s">
        <v>904</v>
      </c>
      <c r="AB6" s="72" t="s">
        <v>553</v>
      </c>
      <c r="AC6" s="63" t="s">
        <v>302</v>
      </c>
      <c r="AD6" s="63" t="s">
        <v>53</v>
      </c>
      <c r="AE6" s="63" t="s">
        <v>115</v>
      </c>
      <c r="AF6" s="63" t="s">
        <v>116</v>
      </c>
      <c r="AG6" s="63" t="s">
        <v>282</v>
      </c>
      <c r="AH6" s="63" t="s">
        <v>62</v>
      </c>
      <c r="AI6" s="73"/>
      <c r="AJ6" s="72"/>
      <c r="AK6" s="74"/>
      <c r="AL6" s="75"/>
      <c r="AM6" s="76" t="str">
        <f t="shared" si="1"/>
        <v/>
      </c>
      <c r="AO6" s="77" t="str">
        <f t="array" ref="AO6:AQ6">INDEX(R_Proy__ObjEsp,MATCH(E6,L_Proy,0))</f>
        <v>Mejorar la explotación de los recursos pesqueros y de la acuicultura.</v>
      </c>
      <c r="AP6" s="78" t="s">
        <v>68</v>
      </c>
      <c r="AQ6" s="78"/>
      <c r="AR6" s="79"/>
      <c r="AS6" s="78" t="str">
        <f t="array" ref="AS6:AV6">INDEX(R_ObjEsp__Prod,MATCH(H6,L_ObjEsp,0))</f>
        <v>Servicio de ordenación pesquera y de la acuicultura</v>
      </c>
      <c r="AT6" s="80" t="s">
        <v>103</v>
      </c>
      <c r="AU6" s="80"/>
      <c r="AV6" s="80"/>
      <c r="AW6" s="80"/>
      <c r="AX6" s="79"/>
      <c r="AY6" s="78" t="str">
        <f t="array" ref="AY6:BD6">INDEX(R_Pro__Act,MATCH(I6,L_Prod,0))</f>
        <v>Regular el manejo y el ejercicio de la actividad pesquera y de la acuicultura.</v>
      </c>
      <c r="AZ6" s="80" t="s">
        <v>131</v>
      </c>
      <c r="BA6" s="80"/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90</v>
      </c>
      <c r="D7" s="64" t="s">
        <v>211</v>
      </c>
      <c r="E7" s="64" t="s">
        <v>64</v>
      </c>
      <c r="F7" s="65">
        <f>IF(ISBLANK(E7),"",VLOOKUP(E7,R_Inf_Proy,2,0))</f>
        <v>2019011000280</v>
      </c>
      <c r="G7" s="65" t="str">
        <f>IF(ISBLANK(E7),"",VLOOKUP(E7,R_Inf_Proy,3,0))</f>
        <v>Sostenibilidad</v>
      </c>
      <c r="H7" s="66" t="s">
        <v>67</v>
      </c>
      <c r="I7" s="66" t="s">
        <v>103</v>
      </c>
      <c r="J7" s="66" t="s">
        <v>131</v>
      </c>
      <c r="K7" s="66" t="s">
        <v>112</v>
      </c>
      <c r="L7" s="67" t="s">
        <v>60</v>
      </c>
      <c r="M7" s="67" t="s">
        <v>61</v>
      </c>
      <c r="N7" s="67" t="s">
        <v>911</v>
      </c>
      <c r="O7" s="81"/>
      <c r="P7" s="109">
        <v>500.0</v>
      </c>
      <c r="Q7" s="70" t="s">
        <v>912</v>
      </c>
      <c r="R7" s="71" t="s">
        <v>900</v>
      </c>
      <c r="S7" s="71" t="s">
        <v>137</v>
      </c>
      <c r="T7" s="109">
        <v>82.0</v>
      </c>
      <c r="U7" s="109">
        <v>110.0</v>
      </c>
      <c r="V7" s="109">
        <v>170.0</v>
      </c>
      <c r="W7" s="109">
        <v>138.0</v>
      </c>
      <c r="X7" s="70" t="s">
        <v>901</v>
      </c>
      <c r="Y7" s="71" t="s">
        <v>902</v>
      </c>
      <c r="Z7" s="71" t="s">
        <v>903</v>
      </c>
      <c r="AA7" s="71" t="s">
        <v>904</v>
      </c>
      <c r="AB7" s="72" t="s">
        <v>553</v>
      </c>
      <c r="AC7" s="63" t="s">
        <v>302</v>
      </c>
      <c r="AD7" s="63" t="s">
        <v>53</v>
      </c>
      <c r="AE7" s="63" t="s">
        <v>115</v>
      </c>
      <c r="AF7" s="63" t="s">
        <v>116</v>
      </c>
      <c r="AG7" s="63" t="s">
        <v>282</v>
      </c>
      <c r="AH7" s="63" t="s">
        <v>62</v>
      </c>
      <c r="AI7" s="73"/>
      <c r="AJ7" s="72"/>
      <c r="AK7" s="74"/>
      <c r="AL7" s="75"/>
      <c r="AM7" s="76" t="str">
        <f t="shared" si="1"/>
        <v/>
      </c>
      <c r="AO7" s="77" t="str">
        <f t="array" ref="AO7:AQ7">INDEX(R_Proy__ObjEsp,MATCH(E7,L_Proy,0))</f>
        <v>Mejorar la explotación de los recursos pesqueros y de la acuicultura.</v>
      </c>
      <c r="AP7" s="78" t="s">
        <v>68</v>
      </c>
      <c r="AQ7" s="78"/>
      <c r="AR7" s="79"/>
      <c r="AS7" s="78" t="str">
        <f t="array" ref="AS7:AV7">INDEX(R_ObjEsp__Prod,MATCH(H7,L_ObjEsp,0))</f>
        <v>Servicio de ordenación pesquera y de la acuicultura</v>
      </c>
      <c r="AT7" s="80" t="s">
        <v>103</v>
      </c>
      <c r="AU7" s="80"/>
      <c r="AV7" s="80"/>
      <c r="AW7" s="80"/>
      <c r="AX7" s="79"/>
      <c r="AY7" s="78" t="str">
        <f t="array" ref="AY7:BD7">INDEX(R_Pro__Act,MATCH(I7,L_Prod,0))</f>
        <v>Regular el manejo y el ejercicio de la actividad pesquera y de la acuicultura.</v>
      </c>
      <c r="AZ7" s="80" t="s">
        <v>131</v>
      </c>
      <c r="BA7" s="80"/>
      <c r="BB7" s="80"/>
      <c r="BC7" s="80"/>
      <c r="BD7" s="80"/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120</v>
      </c>
      <c r="D8" s="64" t="s">
        <v>211</v>
      </c>
      <c r="E8" s="64" t="s">
        <v>30</v>
      </c>
      <c r="F8" s="65">
        <f>IF(ISBLANK(E8),"",VLOOKUP(E8,R_Inf_Proy,2,0))</f>
        <v>2019011000276</v>
      </c>
      <c r="G8" s="65" t="str">
        <f>IF(ISBLANK(E8),"",VLOOKUP(E8,R_Inf_Proy,3,0))</f>
        <v>Inspección</v>
      </c>
      <c r="H8" s="66" t="s">
        <v>34</v>
      </c>
      <c r="I8" s="66" t="s">
        <v>69</v>
      </c>
      <c r="J8" s="66" t="s">
        <v>70</v>
      </c>
      <c r="K8" s="66" t="s">
        <v>112</v>
      </c>
      <c r="L8" s="67" t="s">
        <v>60</v>
      </c>
      <c r="M8" s="67" t="s">
        <v>61</v>
      </c>
      <c r="N8" s="67" t="s">
        <v>913</v>
      </c>
      <c r="O8" s="81"/>
      <c r="P8" s="109">
        <v>650.0</v>
      </c>
      <c r="Q8" s="70" t="s">
        <v>914</v>
      </c>
      <c r="R8" s="71" t="s">
        <v>900</v>
      </c>
      <c r="S8" s="71" t="s">
        <v>137</v>
      </c>
      <c r="T8" s="109">
        <v>117.0</v>
      </c>
      <c r="U8" s="109">
        <v>150.0</v>
      </c>
      <c r="V8" s="109">
        <v>200.0</v>
      </c>
      <c r="W8" s="109">
        <v>183.0</v>
      </c>
      <c r="X8" s="70" t="s">
        <v>901</v>
      </c>
      <c r="Y8" s="71" t="s">
        <v>902</v>
      </c>
      <c r="Z8" s="71" t="s">
        <v>903</v>
      </c>
      <c r="AA8" s="71" t="s">
        <v>904</v>
      </c>
      <c r="AB8" s="72" t="s">
        <v>553</v>
      </c>
      <c r="AC8" s="63" t="s">
        <v>302</v>
      </c>
      <c r="AD8" s="63" t="s">
        <v>53</v>
      </c>
      <c r="AE8" s="63" t="s">
        <v>115</v>
      </c>
      <c r="AF8" s="63" t="s">
        <v>116</v>
      </c>
      <c r="AG8" s="63" t="s">
        <v>282</v>
      </c>
      <c r="AH8" s="63" t="s">
        <v>62</v>
      </c>
      <c r="AI8" s="73"/>
      <c r="AJ8" s="72"/>
      <c r="AK8" s="74"/>
      <c r="AL8" s="75"/>
      <c r="AM8" s="76" t="str">
        <f t="shared" si="1"/>
        <v/>
      </c>
      <c r="AO8" s="77" t="str">
        <f t="array" ref="AO8:AQ8">INDEX(R_Proy__ObjEsp,MATCH(E8,L_Proy,0))</f>
        <v>Fortalecer los mecanismos de seguimiento y control de la actividad pesquera y de la acuicultura.</v>
      </c>
      <c r="AP8" s="78" t="s">
        <v>34</v>
      </c>
      <c r="AQ8" s="78"/>
      <c r="AR8" s="79"/>
      <c r="AS8" s="78" t="str">
        <f t="array" ref="AS8:AV8">INDEX(R_ObjEsp__Prod,MATCH(H8,L_ObjEsp,0))</f>
        <v>Servicio de divulgación y socialización</v>
      </c>
      <c r="AT8" s="80"/>
      <c r="AU8" s="80"/>
      <c r="AV8" s="80"/>
      <c r="AW8" s="80"/>
      <c r="AX8" s="79"/>
      <c r="AY8" s="78" t="str">
        <f t="array" ref="AY8:BD8">INDEX(R_Pro__Act,MATCH(I8,L_Prod,0))</f>
        <v>Implementar las estrategias de socialización y Divulgación a la comunidad</v>
      </c>
      <c r="AZ8" s="80" t="s">
        <v>71</v>
      </c>
      <c r="BA8" s="80" t="s">
        <v>72</v>
      </c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120</v>
      </c>
      <c r="D9" s="64" t="s">
        <v>211</v>
      </c>
      <c r="E9" s="64" t="s">
        <v>30</v>
      </c>
      <c r="F9" s="65">
        <f>IF(ISBLANK(E9),"",VLOOKUP(E9,R_Inf_Proy,2,0))</f>
        <v>2019011000276</v>
      </c>
      <c r="G9" s="65" t="str">
        <f>IF(ISBLANK(E9),"",VLOOKUP(E9,R_Inf_Proy,3,0))</f>
        <v>Inspección</v>
      </c>
      <c r="H9" s="66" t="s">
        <v>34</v>
      </c>
      <c r="I9" s="66" t="s">
        <v>69</v>
      </c>
      <c r="J9" s="66" t="s">
        <v>70</v>
      </c>
      <c r="K9" s="66" t="s">
        <v>112</v>
      </c>
      <c r="L9" s="67" t="s">
        <v>60</v>
      </c>
      <c r="M9" s="67" t="s">
        <v>61</v>
      </c>
      <c r="N9" s="67" t="s">
        <v>915</v>
      </c>
      <c r="O9" s="84"/>
      <c r="P9" s="109">
        <v>25.0</v>
      </c>
      <c r="Q9" s="70" t="s">
        <v>916</v>
      </c>
      <c r="R9" s="71" t="s">
        <v>900</v>
      </c>
      <c r="S9" s="71" t="s">
        <v>137</v>
      </c>
      <c r="T9" s="109">
        <v>6.0</v>
      </c>
      <c r="U9" s="109">
        <v>5.0</v>
      </c>
      <c r="V9" s="109">
        <v>7.0</v>
      </c>
      <c r="W9" s="109">
        <v>7.0</v>
      </c>
      <c r="X9" s="70" t="s">
        <v>901</v>
      </c>
      <c r="Y9" s="71" t="s">
        <v>902</v>
      </c>
      <c r="Z9" s="71" t="s">
        <v>903</v>
      </c>
      <c r="AA9" s="71" t="s">
        <v>904</v>
      </c>
      <c r="AB9" s="72" t="s">
        <v>553</v>
      </c>
      <c r="AC9" s="63" t="s">
        <v>302</v>
      </c>
      <c r="AD9" s="63" t="s">
        <v>53</v>
      </c>
      <c r="AE9" s="63" t="s">
        <v>115</v>
      </c>
      <c r="AF9" s="63" t="s">
        <v>116</v>
      </c>
      <c r="AG9" s="63" t="s">
        <v>282</v>
      </c>
      <c r="AH9" s="63" t="s">
        <v>62</v>
      </c>
      <c r="AI9" s="73"/>
      <c r="AJ9" s="72"/>
      <c r="AK9" s="74"/>
      <c r="AL9" s="75"/>
      <c r="AM9" s="76" t="str">
        <f t="shared" si="1"/>
        <v/>
      </c>
      <c r="AO9" s="77" t="str">
        <f t="array" ref="AO9:AQ9">INDEX(R_Proy__ObjEsp,MATCH(E9,L_Proy,0))</f>
        <v>Fortalecer los mecanismos de seguimiento y control de la actividad pesquera y de la acuicultura.</v>
      </c>
      <c r="AP9" s="78" t="s">
        <v>34</v>
      </c>
      <c r="AQ9" s="78"/>
      <c r="AR9" s="79"/>
      <c r="AS9" s="78" t="str">
        <f t="array" ref="AS9:AV9">INDEX(R_ObjEsp__Prod,MATCH(H9,L_ObjEsp,0))</f>
        <v>Servicio de divulgación y socialización</v>
      </c>
      <c r="AT9" s="80"/>
      <c r="AU9" s="80"/>
      <c r="AV9" s="80"/>
      <c r="AW9" s="80"/>
      <c r="AX9" s="79"/>
      <c r="AY9" s="78" t="str">
        <f t="array" ref="AY9:BD9">INDEX(R_Pro__Act,MATCH(I9,L_Prod,0))</f>
        <v>Implementar las estrategias de socialización y Divulgación a la comunidad</v>
      </c>
      <c r="AZ9" s="80" t="s">
        <v>71</v>
      </c>
      <c r="BA9" s="80" t="s">
        <v>72</v>
      </c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90</v>
      </c>
      <c r="D10" s="64" t="s">
        <v>211</v>
      </c>
      <c r="E10" s="64" t="s">
        <v>64</v>
      </c>
      <c r="F10" s="65">
        <f>IF(ISBLANK(E10),"",VLOOKUP(E10,R_Inf_Proy,2,0))</f>
        <v>2019011000280</v>
      </c>
      <c r="G10" s="65" t="str">
        <f>IF(ISBLANK(E10),"",VLOOKUP(E10,R_Inf_Proy,3,0))</f>
        <v>Sostenibilidad</v>
      </c>
      <c r="H10" s="66" t="s">
        <v>68</v>
      </c>
      <c r="I10" s="66" t="s">
        <v>135</v>
      </c>
      <c r="J10" s="66" t="s">
        <v>206</v>
      </c>
      <c r="K10" s="66" t="s">
        <v>112</v>
      </c>
      <c r="L10" s="67" t="s">
        <v>60</v>
      </c>
      <c r="M10" s="67" t="s">
        <v>61</v>
      </c>
      <c r="N10" s="67" t="s">
        <v>917</v>
      </c>
      <c r="O10" s="81"/>
      <c r="P10" s="109">
        <v>33.0</v>
      </c>
      <c r="Q10" s="70" t="s">
        <v>918</v>
      </c>
      <c r="R10" s="71" t="s">
        <v>919</v>
      </c>
      <c r="S10" s="71" t="s">
        <v>137</v>
      </c>
      <c r="T10" s="109">
        <v>3.0</v>
      </c>
      <c r="U10" s="109">
        <v>10.0</v>
      </c>
      <c r="V10" s="109">
        <v>10.0</v>
      </c>
      <c r="W10" s="109">
        <v>10.0</v>
      </c>
      <c r="X10" s="70" t="s">
        <v>901</v>
      </c>
      <c r="Y10" s="71" t="s">
        <v>902</v>
      </c>
      <c r="Z10" s="71" t="s">
        <v>903</v>
      </c>
      <c r="AA10" s="71" t="s">
        <v>904</v>
      </c>
      <c r="AB10" s="72" t="s">
        <v>553</v>
      </c>
      <c r="AC10" s="63" t="s">
        <v>302</v>
      </c>
      <c r="AD10" s="63" t="s">
        <v>53</v>
      </c>
      <c r="AE10" s="63" t="s">
        <v>115</v>
      </c>
      <c r="AF10" s="63" t="s">
        <v>116</v>
      </c>
      <c r="AG10" s="63" t="s">
        <v>282</v>
      </c>
      <c r="AH10" s="63" t="s">
        <v>62</v>
      </c>
      <c r="AI10" s="73"/>
      <c r="AJ10" s="72"/>
      <c r="AK10" s="74"/>
      <c r="AL10" s="75"/>
      <c r="AM10" s="76" t="str">
        <f t="shared" si="1"/>
        <v/>
      </c>
      <c r="AO10" s="77" t="str">
        <f t="array" ref="AO10:AQ10">INDEX(R_Proy__ObjEsp,MATCH(E10,L_Proy,0))</f>
        <v>Mejorar la explotación de los recursos pesqueros y de la acuicultura.</v>
      </c>
      <c r="AP10" s="78" t="s">
        <v>68</v>
      </c>
      <c r="AQ10" s="78"/>
      <c r="AR10" s="79"/>
      <c r="AS10" s="78" t="str">
        <f t="array" ref="AS10:AV10">INDEX(R_ObjEsp__Prod,MATCH(H10,L_ObjEsp,0))</f>
        <v>1-Servicios de apoyo a las estaciones de acuicultura</v>
      </c>
      <c r="AT10" s="80" t="s">
        <v>133</v>
      </c>
      <c r="AU10" s="80" t="s">
        <v>134</v>
      </c>
      <c r="AV10" s="80" t="s">
        <v>135</v>
      </c>
      <c r="AW10" s="80"/>
      <c r="AX10" s="79"/>
      <c r="AY10" s="78" t="str">
        <f t="array" ref="AY10:BD10">INDEX(R_Pro__Act,MATCH(I10,L_Prod,0))</f>
        <v>Generar acciones de fomento para la pesca, la acuicultura y sus actividades conexas.</v>
      </c>
      <c r="AZ10" s="80" t="s">
        <v>207</v>
      </c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 t="s">
        <v>90</v>
      </c>
      <c r="D11" s="64" t="s">
        <v>211</v>
      </c>
      <c r="E11" s="64" t="s">
        <v>64</v>
      </c>
      <c r="F11" s="65">
        <f>IF(ISBLANK(E11),"",VLOOKUP(E11,R_Inf_Proy,2,0))</f>
        <v>2019011000280</v>
      </c>
      <c r="G11" s="65" t="str">
        <f>IF(ISBLANK(E11),"",VLOOKUP(E11,R_Inf_Proy,3,0))</f>
        <v>Sostenibilidad</v>
      </c>
      <c r="H11" s="66" t="s">
        <v>67</v>
      </c>
      <c r="I11" s="66" t="s">
        <v>103</v>
      </c>
      <c r="J11" s="66" t="s">
        <v>130</v>
      </c>
      <c r="K11" s="66" t="s">
        <v>112</v>
      </c>
      <c r="L11" s="67" t="s">
        <v>60</v>
      </c>
      <c r="M11" s="67" t="s">
        <v>61</v>
      </c>
      <c r="N11" s="67" t="s">
        <v>920</v>
      </c>
      <c r="O11" s="81"/>
      <c r="P11" s="68">
        <v>2000.0</v>
      </c>
      <c r="Q11" s="70" t="s">
        <v>866</v>
      </c>
      <c r="R11" s="71" t="s">
        <v>921</v>
      </c>
      <c r="S11" s="71" t="s">
        <v>137</v>
      </c>
      <c r="T11" s="68">
        <v>150.0</v>
      </c>
      <c r="U11" s="68">
        <v>600.0</v>
      </c>
      <c r="V11" s="68">
        <v>700.0</v>
      </c>
      <c r="W11" s="68">
        <v>550.0</v>
      </c>
      <c r="X11" s="70" t="s">
        <v>901</v>
      </c>
      <c r="Y11" s="71" t="s">
        <v>902</v>
      </c>
      <c r="Z11" s="71" t="s">
        <v>903</v>
      </c>
      <c r="AA11" s="71" t="s">
        <v>904</v>
      </c>
      <c r="AB11" s="72" t="s">
        <v>553</v>
      </c>
      <c r="AC11" s="63" t="s">
        <v>302</v>
      </c>
      <c r="AD11" s="63" t="s">
        <v>53</v>
      </c>
      <c r="AE11" s="63" t="s">
        <v>115</v>
      </c>
      <c r="AF11" s="63" t="s">
        <v>116</v>
      </c>
      <c r="AG11" s="63" t="s">
        <v>282</v>
      </c>
      <c r="AH11" s="63" t="s">
        <v>62</v>
      </c>
      <c r="AI11" s="73"/>
      <c r="AJ11" s="72"/>
      <c r="AK11" s="74"/>
      <c r="AL11" s="75"/>
      <c r="AM11" s="76" t="str">
        <f t="shared" si="1"/>
        <v/>
      </c>
      <c r="AO11" s="77" t="str">
        <f t="array" ref="AO11:AQ11">INDEX(R_Proy__ObjEsp,MATCH(E11,L_Proy,0))</f>
        <v>Mejorar la explotación de los recursos pesqueros y de la acuicultura.</v>
      </c>
      <c r="AP11" s="78" t="s">
        <v>68</v>
      </c>
      <c r="AQ11" s="78"/>
      <c r="AR11" s="79"/>
      <c r="AS11" s="78" t="str">
        <f t="array" ref="AS11:AV11">INDEX(R_ObjEsp__Prod,MATCH(H11,L_ObjEsp,0))</f>
        <v>Servicio de ordenación pesquera y de la acuicultura</v>
      </c>
      <c r="AT11" s="80" t="s">
        <v>103</v>
      </c>
      <c r="AU11" s="80"/>
      <c r="AV11" s="80"/>
      <c r="AW11" s="80"/>
      <c r="AX11" s="79"/>
      <c r="AY11" s="78" t="str">
        <f t="array" ref="AY11:BD11">INDEX(R_Pro__Act,MATCH(I11,L_Prod,0))</f>
        <v>Regular el manejo y el ejercicio de la actividad pesquera y de la acuicultura.</v>
      </c>
      <c r="AZ11" s="80" t="s">
        <v>131</v>
      </c>
      <c r="BA11" s="80"/>
      <c r="BB11" s="80"/>
      <c r="BC11" s="80"/>
      <c r="BD11" s="80"/>
      <c r="BE11" s="79"/>
      <c r="BF11" s="79"/>
      <c r="BG11" s="79"/>
      <c r="BH11" s="79"/>
      <c r="BI11" s="79"/>
      <c r="BJ11" s="79"/>
      <c r="BK11" s="79"/>
      <c r="BL11" s="79"/>
      <c r="BM11" s="79"/>
    </row>
    <row r="12" ht="67.5" customHeight="1">
      <c r="A12" s="39"/>
      <c r="B12" s="62">
        <v>10.0</v>
      </c>
      <c r="C12" s="63" t="s">
        <v>120</v>
      </c>
      <c r="D12" s="64" t="s">
        <v>211</v>
      </c>
      <c r="E12" s="64" t="s">
        <v>30</v>
      </c>
      <c r="F12" s="65">
        <f>IF(ISBLANK(E12),"",VLOOKUP(E12,R_Inf_Proy,2,0))</f>
        <v>2019011000276</v>
      </c>
      <c r="G12" s="65" t="str">
        <f>IF(ISBLANK(E12),"",VLOOKUP(E12,R_Inf_Proy,3,0))</f>
        <v>Inspección</v>
      </c>
      <c r="H12" s="66" t="s">
        <v>33</v>
      </c>
      <c r="I12" s="66" t="s">
        <v>35</v>
      </c>
      <c r="J12" s="66" t="s">
        <v>36</v>
      </c>
      <c r="K12" s="66" t="s">
        <v>82</v>
      </c>
      <c r="L12" s="67" t="s">
        <v>60</v>
      </c>
      <c r="M12" s="67" t="s">
        <v>61</v>
      </c>
      <c r="N12" s="67" t="s">
        <v>596</v>
      </c>
      <c r="O12" s="68">
        <v>157.0</v>
      </c>
      <c r="P12" s="68">
        <v>700.0</v>
      </c>
      <c r="Q12" s="70" t="s">
        <v>876</v>
      </c>
      <c r="R12" s="71" t="s">
        <v>922</v>
      </c>
      <c r="S12" s="71" t="s">
        <v>137</v>
      </c>
      <c r="T12" s="68">
        <v>141.0</v>
      </c>
      <c r="U12" s="68">
        <v>198.0</v>
      </c>
      <c r="V12" s="68">
        <v>189.0</v>
      </c>
      <c r="W12" s="68">
        <v>172.0</v>
      </c>
      <c r="X12" s="70" t="s">
        <v>901</v>
      </c>
      <c r="Y12" s="71" t="s">
        <v>902</v>
      </c>
      <c r="Z12" s="71" t="s">
        <v>903</v>
      </c>
      <c r="AA12" s="71" t="s">
        <v>904</v>
      </c>
      <c r="AB12" s="72" t="s">
        <v>553</v>
      </c>
      <c r="AC12" s="63" t="s">
        <v>302</v>
      </c>
      <c r="AD12" s="63" t="s">
        <v>53</v>
      </c>
      <c r="AE12" s="63" t="s">
        <v>115</v>
      </c>
      <c r="AF12" s="63" t="s">
        <v>116</v>
      </c>
      <c r="AG12" s="63" t="s">
        <v>282</v>
      </c>
      <c r="AH12" s="63" t="s">
        <v>62</v>
      </c>
      <c r="AI12" s="73"/>
      <c r="AJ12" s="72"/>
      <c r="AK12" s="74"/>
      <c r="AL12" s="75"/>
      <c r="AM12" s="76" t="str">
        <f t="shared" si="1"/>
        <v/>
      </c>
      <c r="AO12" s="77" t="str">
        <f t="array" ref="AO12:AQ12">INDEX(R_Proy__ObjEsp,MATCH(E12,L_Proy,0))</f>
        <v>Fortalecer los mecanismos de seguimiento y control de la actividad pesquera y de la acuicultura.</v>
      </c>
      <c r="AP12" s="78" t="s">
        <v>34</v>
      </c>
      <c r="AQ12" s="78"/>
      <c r="AR12" s="79"/>
      <c r="AS12" s="78" t="str">
        <f t="array" ref="AS12:AV12">INDEX(R_ObjEsp__Prod,MATCH(H12,L_ObjEsp,0))</f>
        <v>Servicio de inspección, vigilancia y control de la pesca y la acuicultura</v>
      </c>
      <c r="AT12" s="80"/>
      <c r="AU12" s="80"/>
      <c r="AV12" s="80"/>
      <c r="AW12" s="80"/>
      <c r="AX12" s="79"/>
      <c r="AY12" s="78" t="str">
        <f t="array" ref="AY12:BD12">INDEX(R_Pro__Act,MATCH(I12,L_Prod,0))</f>
        <v>Realizar seguimiento y actualización al registro general de pesca.</v>
      </c>
      <c r="AZ12" s="80" t="s">
        <v>37</v>
      </c>
      <c r="BA12" s="80" t="s">
        <v>38</v>
      </c>
      <c r="BB12" s="80" t="s">
        <v>39</v>
      </c>
      <c r="BC12" s="80" t="s">
        <v>40</v>
      </c>
      <c r="BD12" s="80" t="s">
        <v>41</v>
      </c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 t="s">
        <v>90</v>
      </c>
      <c r="D13" s="64" t="s">
        <v>211</v>
      </c>
      <c r="E13" s="64" t="s">
        <v>64</v>
      </c>
      <c r="F13" s="65">
        <f>IF(ISBLANK(E13),"",VLOOKUP(E13,R_Inf_Proy,2,0))</f>
        <v>2019011000280</v>
      </c>
      <c r="G13" s="65" t="str">
        <f>IF(ISBLANK(E13),"",VLOOKUP(E13,R_Inf_Proy,3,0))</f>
        <v>Sostenibilidad</v>
      </c>
      <c r="H13" s="66" t="s">
        <v>67</v>
      </c>
      <c r="I13" s="66" t="s">
        <v>100</v>
      </c>
      <c r="J13" s="66" t="s">
        <v>101</v>
      </c>
      <c r="K13" s="66" t="s">
        <v>51</v>
      </c>
      <c r="L13" s="67" t="s">
        <v>60</v>
      </c>
      <c r="M13" s="67" t="s">
        <v>61</v>
      </c>
      <c r="N13" s="67" t="s">
        <v>895</v>
      </c>
      <c r="O13" s="81"/>
      <c r="P13" s="68">
        <f t="shared" ref="P13:P14" si="2">T13+U13+V13+W13</f>
        <v>22</v>
      </c>
      <c r="Q13" s="70" t="s">
        <v>778</v>
      </c>
      <c r="R13" s="71" t="s">
        <v>923</v>
      </c>
      <c r="S13" s="71" t="s">
        <v>137</v>
      </c>
      <c r="T13" s="68">
        <v>2.0</v>
      </c>
      <c r="U13" s="68">
        <v>6.0</v>
      </c>
      <c r="V13" s="68">
        <v>8.0</v>
      </c>
      <c r="W13" s="68">
        <v>6.0</v>
      </c>
      <c r="X13" s="70" t="s">
        <v>901</v>
      </c>
      <c r="Y13" s="71" t="s">
        <v>902</v>
      </c>
      <c r="Z13" s="71" t="s">
        <v>903</v>
      </c>
      <c r="AA13" s="71" t="s">
        <v>904</v>
      </c>
      <c r="AB13" s="72" t="s">
        <v>553</v>
      </c>
      <c r="AC13" s="63" t="s">
        <v>302</v>
      </c>
      <c r="AD13" s="63" t="s">
        <v>53</v>
      </c>
      <c r="AE13" s="63" t="s">
        <v>115</v>
      </c>
      <c r="AF13" s="63" t="s">
        <v>116</v>
      </c>
      <c r="AG13" s="63" t="s">
        <v>282</v>
      </c>
      <c r="AH13" s="63" t="s">
        <v>62</v>
      </c>
      <c r="AI13" s="73"/>
      <c r="AJ13" s="73"/>
      <c r="AK13" s="74"/>
      <c r="AL13" s="75"/>
      <c r="AM13" s="76" t="str">
        <f t="shared" si="1"/>
        <v/>
      </c>
      <c r="AO13" s="77" t="str">
        <f t="array" ref="AO13:AQ13">INDEX(R_Proy__ObjEsp,MATCH(E13,L_Proy,0))</f>
        <v>Mejorar la explotación de los recursos pesqueros y de la acuicultura.</v>
      </c>
      <c r="AP13" s="78" t="s">
        <v>68</v>
      </c>
      <c r="AQ13" s="78"/>
      <c r="AR13" s="79"/>
      <c r="AS13" s="78" t="str">
        <f t="array" ref="AS13:AV13">INDEX(R_ObjEsp__Prod,MATCH(H13,L_ObjEsp,0))</f>
        <v>Servicio de ordenación pesquera y de la acuicultura</v>
      </c>
      <c r="AT13" s="80" t="s">
        <v>103</v>
      </c>
      <c r="AU13" s="80"/>
      <c r="AV13" s="80"/>
      <c r="AW13" s="80"/>
      <c r="AX13" s="79"/>
      <c r="AY13" s="78" t="str">
        <f t="array" ref="AY13:BD13">INDEX(R_Pro__Act,MATCH(I13,L_Prod,0))</f>
        <v>Realizar seguimiento a los acuerdos de ordenación</v>
      </c>
      <c r="AZ13" s="80" t="s">
        <v>102</v>
      </c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 t="s">
        <v>90</v>
      </c>
      <c r="D14" s="64" t="s">
        <v>211</v>
      </c>
      <c r="E14" s="64" t="s">
        <v>64</v>
      </c>
      <c r="F14" s="65">
        <f>IF(ISBLANK(E14),"",VLOOKUP(E14,R_Inf_Proy,2,0))</f>
        <v>2019011000280</v>
      </c>
      <c r="G14" s="65" t="str">
        <f>IF(ISBLANK(E14),"",VLOOKUP(E14,R_Inf_Proy,3,0))</f>
        <v>Sostenibilidad</v>
      </c>
      <c r="H14" s="66" t="s">
        <v>68</v>
      </c>
      <c r="I14" s="66" t="s">
        <v>135</v>
      </c>
      <c r="J14" s="66" t="s">
        <v>206</v>
      </c>
      <c r="K14" s="66" t="s">
        <v>112</v>
      </c>
      <c r="L14" s="67" t="s">
        <v>121</v>
      </c>
      <c r="M14" s="67" t="s">
        <v>61</v>
      </c>
      <c r="N14" s="67" t="s">
        <v>851</v>
      </c>
      <c r="O14" s="81"/>
      <c r="P14" s="81">
        <f t="shared" si="2"/>
        <v>50</v>
      </c>
      <c r="Q14" s="70" t="s">
        <v>852</v>
      </c>
      <c r="R14" s="113" t="s">
        <v>853</v>
      </c>
      <c r="S14" s="71" t="s">
        <v>137</v>
      </c>
      <c r="T14" s="68">
        <v>5.0</v>
      </c>
      <c r="U14" s="68">
        <v>15.0</v>
      </c>
      <c r="V14" s="68">
        <v>20.0</v>
      </c>
      <c r="W14" s="68">
        <v>10.0</v>
      </c>
      <c r="X14" s="70" t="s">
        <v>901</v>
      </c>
      <c r="Y14" s="71" t="s">
        <v>902</v>
      </c>
      <c r="Z14" s="71" t="s">
        <v>903</v>
      </c>
      <c r="AA14" s="71" t="s">
        <v>904</v>
      </c>
      <c r="AB14" s="72" t="s">
        <v>553</v>
      </c>
      <c r="AC14" s="63" t="s">
        <v>302</v>
      </c>
      <c r="AD14" s="63" t="s">
        <v>53</v>
      </c>
      <c r="AE14" s="63" t="s">
        <v>115</v>
      </c>
      <c r="AF14" s="63" t="s">
        <v>116</v>
      </c>
      <c r="AG14" s="63" t="s">
        <v>282</v>
      </c>
      <c r="AH14" s="63" t="s">
        <v>62</v>
      </c>
      <c r="AI14" s="73"/>
      <c r="AJ14" s="73"/>
      <c r="AK14" s="74"/>
      <c r="AL14" s="75"/>
      <c r="AM14" s="76" t="str">
        <f t="shared" si="1"/>
        <v/>
      </c>
      <c r="AO14" s="77" t="str">
        <f t="array" ref="AO14:AQ14">INDEX(R_Proy__ObjEsp,MATCH(E14,L_Proy,0))</f>
        <v>Mejorar la explotación de los recursos pesqueros y de la acuicultura.</v>
      </c>
      <c r="AP14" s="78" t="s">
        <v>68</v>
      </c>
      <c r="AQ14" s="78"/>
      <c r="AR14" s="79"/>
      <c r="AS14" s="78" t="str">
        <f t="array" ref="AS14:AV14">INDEX(R_ObjEsp__Prod,MATCH(H14,L_ObjEsp,0))</f>
        <v>1-Servicios de apoyo a las estaciones de acuicultura</v>
      </c>
      <c r="AT14" s="80" t="s">
        <v>133</v>
      </c>
      <c r="AU14" s="80" t="s">
        <v>134</v>
      </c>
      <c r="AV14" s="80" t="s">
        <v>135</v>
      </c>
      <c r="AW14" s="80"/>
      <c r="AX14" s="79"/>
      <c r="AY14" s="78" t="str">
        <f t="array" ref="AY14:BD14">INDEX(R_Pro__Act,MATCH(I14,L_Prod,0))</f>
        <v>Generar acciones de fomento para la pesca, la acuicultura y sus actividades conexas.</v>
      </c>
      <c r="AZ14" s="80" t="s">
        <v>207</v>
      </c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269" t="s">
        <v>90</v>
      </c>
      <c r="D15" s="269" t="s">
        <v>182</v>
      </c>
      <c r="E15" s="269" t="s">
        <v>64</v>
      </c>
      <c r="F15" s="269">
        <f>IF(ISBLANK(E15),"",VLOOKUP(E15,R_Inf_Proy,2,0))</f>
        <v>2019011000280</v>
      </c>
      <c r="G15" s="269" t="str">
        <f>IF(ISBLANK(E15),"",VLOOKUP(E15,R_Inf_Proy,3,0))</f>
        <v>Sostenibilidad</v>
      </c>
      <c r="H15" s="269" t="s">
        <v>67</v>
      </c>
      <c r="I15" s="269" t="s">
        <v>103</v>
      </c>
      <c r="J15" s="119" t="s">
        <v>130</v>
      </c>
      <c r="K15" s="119" t="s">
        <v>51</v>
      </c>
      <c r="L15" s="119" t="s">
        <v>60</v>
      </c>
      <c r="M15" s="119" t="s">
        <v>61</v>
      </c>
      <c r="N15" s="119" t="s">
        <v>854</v>
      </c>
      <c r="O15" s="81"/>
      <c r="P15" s="68">
        <v>1000.0</v>
      </c>
      <c r="Q15" s="70" t="s">
        <v>759</v>
      </c>
      <c r="R15" s="70" t="s">
        <v>760</v>
      </c>
      <c r="S15" s="71" t="s">
        <v>137</v>
      </c>
      <c r="T15" s="68">
        <v>100.0</v>
      </c>
      <c r="U15" s="68">
        <v>350.0</v>
      </c>
      <c r="V15" s="68">
        <v>350.0</v>
      </c>
      <c r="W15" s="68">
        <v>200.0</v>
      </c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1"/>
        <v/>
      </c>
      <c r="AO15" s="77" t="str">
        <f t="array" ref="AO15:AQ15">INDEX(R_Proy__ObjEsp,MATCH(E15,L_Proy,0))</f>
        <v>Mejorar la explotación de los recursos pesqueros y de la acuicultura.</v>
      </c>
      <c r="AP15" s="78" t="s">
        <v>68</v>
      </c>
      <c r="AQ15" s="78"/>
      <c r="AR15" s="79"/>
      <c r="AS15" s="78" t="str">
        <f t="array" ref="AS15:AV15">INDEX(R_ObjEsp__Prod,MATCH(H15,L_ObjEsp,0))</f>
        <v>Servicio de ordenación pesquera y de la acuicultura</v>
      </c>
      <c r="AT15" s="80" t="s">
        <v>103</v>
      </c>
      <c r="AU15" s="80"/>
      <c r="AV15" s="80"/>
      <c r="AW15" s="80"/>
      <c r="AX15" s="79"/>
      <c r="AY15" s="78" t="str">
        <f t="array" ref="AY15:BD15">INDEX(R_Pro__Act,MATCH(I15,L_Prod,0))</f>
        <v>Regular el manejo y el ejercicio de la actividad pesquera y de la acuicultura.</v>
      </c>
      <c r="AZ15" s="80" t="s">
        <v>131</v>
      </c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1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1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1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1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1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1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1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1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1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1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1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1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1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1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1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1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1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1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1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1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1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1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1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1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1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1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1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1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1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1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1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1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1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1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1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1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1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1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1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1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1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1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1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1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1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1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1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1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1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1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1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1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1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1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1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1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1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1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1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1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1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1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1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1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1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1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1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1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1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1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1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1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1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1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1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1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1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1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1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1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1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1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1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1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1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1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J3:AK3 AK4:AK12 AJ13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3.14"/>
    <col customWidth="1" min="2" max="2" width="5.86"/>
    <col customWidth="1" min="3" max="3" width="20.57"/>
    <col customWidth="1" min="4" max="4" width="17.29"/>
    <col customWidth="1" min="5" max="5" width="34.43"/>
    <col customWidth="1" min="6" max="7" width="17.29"/>
    <col customWidth="1" min="8" max="10" width="34.43"/>
    <col customWidth="1" min="11" max="13" width="17.29"/>
    <col customWidth="1" min="14" max="14" width="34.43"/>
    <col customWidth="1" hidden="1" min="15" max="15" width="17.29"/>
    <col customWidth="1" min="16" max="16" width="17.29"/>
    <col customWidth="1" min="17" max="17" width="34.43"/>
    <col customWidth="1" min="18" max="18" width="40.43"/>
    <col customWidth="1" min="19" max="23" width="17.29"/>
    <col customWidth="1" min="24" max="31" width="18.86"/>
    <col customWidth="1" min="32" max="32" width="24.43"/>
    <col customWidth="1" min="33" max="34" width="18.86"/>
    <col customWidth="1" min="35" max="36" width="20.14"/>
    <col customWidth="1" min="37" max="39" width="17.29"/>
    <col customWidth="1" min="40" max="40" width="3.14"/>
    <col customWidth="1" hidden="1" min="41" max="41" width="16.29"/>
    <col customWidth="1" hidden="1" min="42" max="44" width="14.43"/>
    <col customWidth="1" hidden="1" min="45" max="45" width="16.43"/>
    <col customWidth="1" hidden="1" min="46" max="50" width="14.43"/>
    <col customWidth="1" hidden="1" min="51" max="51" width="17.57"/>
    <col customWidth="1" hidden="1" min="52" max="65" width="14.43"/>
  </cols>
  <sheetData>
    <row r="1" ht="15.75" customHeight="1">
      <c r="A1" s="39"/>
      <c r="B1" s="40"/>
      <c r="C1" s="41"/>
      <c r="D1" s="39"/>
      <c r="E1" s="39"/>
      <c r="F1" s="40"/>
      <c r="G1" s="40"/>
      <c r="H1" s="39"/>
      <c r="I1" s="39"/>
      <c r="J1" s="39"/>
      <c r="K1" s="39"/>
      <c r="L1" s="39"/>
      <c r="M1" s="39"/>
      <c r="N1" s="39"/>
      <c r="O1" s="42"/>
      <c r="P1" s="42"/>
      <c r="Q1" s="39"/>
      <c r="R1" s="39"/>
      <c r="S1" s="39"/>
      <c r="T1" s="42"/>
      <c r="U1" s="42"/>
      <c r="V1" s="42"/>
      <c r="W1" s="42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41"/>
      <c r="AM1" s="43"/>
      <c r="AN1" s="44"/>
      <c r="AO1" s="45"/>
      <c r="AP1" s="45"/>
      <c r="AQ1" s="45"/>
      <c r="AR1" s="45"/>
      <c r="AS1" s="45"/>
      <c r="AT1" s="46"/>
      <c r="AU1" s="46"/>
      <c r="AV1" s="46"/>
      <c r="AW1" s="46"/>
      <c r="AX1" s="46"/>
      <c r="AY1" s="45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ht="45.0" customHeight="1">
      <c r="A2" s="40"/>
      <c r="B2" s="47" t="s">
        <v>424</v>
      </c>
      <c r="C2" s="48" t="s">
        <v>25</v>
      </c>
      <c r="D2" s="49" t="s">
        <v>425</v>
      </c>
      <c r="E2" s="49" t="s">
        <v>426</v>
      </c>
      <c r="F2" s="50" t="s">
        <v>2</v>
      </c>
      <c r="G2" s="49" t="s">
        <v>3</v>
      </c>
      <c r="H2" s="49" t="s">
        <v>427</v>
      </c>
      <c r="I2" s="49" t="s">
        <v>428</v>
      </c>
      <c r="J2" s="49" t="s">
        <v>429</v>
      </c>
      <c r="K2" s="49" t="s">
        <v>17</v>
      </c>
      <c r="L2" s="49" t="s">
        <v>26</v>
      </c>
      <c r="M2" s="49" t="s">
        <v>27</v>
      </c>
      <c r="N2" s="49" t="s">
        <v>430</v>
      </c>
      <c r="O2" s="51" t="s">
        <v>431</v>
      </c>
      <c r="P2" s="51" t="s">
        <v>432</v>
      </c>
      <c r="Q2" s="49" t="s">
        <v>433</v>
      </c>
      <c r="R2" s="52" t="s">
        <v>434</v>
      </c>
      <c r="S2" s="49" t="s">
        <v>10</v>
      </c>
      <c r="T2" s="51" t="s">
        <v>435</v>
      </c>
      <c r="U2" s="51" t="s">
        <v>436</v>
      </c>
      <c r="V2" s="51" t="s">
        <v>437</v>
      </c>
      <c r="W2" s="51" t="s">
        <v>438</v>
      </c>
      <c r="X2" s="49" t="s">
        <v>439</v>
      </c>
      <c r="Y2" s="49" t="s">
        <v>440</v>
      </c>
      <c r="Z2" s="49" t="s">
        <v>441</v>
      </c>
      <c r="AA2" s="49" t="s">
        <v>442</v>
      </c>
      <c r="AB2" s="49" t="s">
        <v>443</v>
      </c>
      <c r="AC2" s="49" t="s">
        <v>444</v>
      </c>
      <c r="AD2" s="49" t="s">
        <v>19</v>
      </c>
      <c r="AE2" s="49" t="s">
        <v>20</v>
      </c>
      <c r="AF2" s="49" t="s">
        <v>21</v>
      </c>
      <c r="AG2" s="49" t="s">
        <v>22</v>
      </c>
      <c r="AH2" s="49" t="s">
        <v>445</v>
      </c>
      <c r="AI2" s="49" t="s">
        <v>446</v>
      </c>
      <c r="AJ2" s="49" t="s">
        <v>447</v>
      </c>
      <c r="AK2" s="49" t="s">
        <v>23</v>
      </c>
      <c r="AL2" s="48" t="s">
        <v>448</v>
      </c>
      <c r="AM2" s="53" t="s">
        <v>449</v>
      </c>
      <c r="AN2" s="44"/>
      <c r="AO2" s="54" t="s">
        <v>450</v>
      </c>
      <c r="AP2" s="55"/>
      <c r="AQ2" s="55"/>
      <c r="AR2" s="56"/>
      <c r="AS2" s="57" t="s">
        <v>451</v>
      </c>
      <c r="AT2" s="58"/>
      <c r="AU2" s="58"/>
      <c r="AV2" s="58"/>
      <c r="AW2" s="58"/>
      <c r="AX2" s="59"/>
      <c r="AY2" s="60" t="s">
        <v>452</v>
      </c>
      <c r="AZ2" s="61"/>
      <c r="BA2" s="61"/>
      <c r="BB2" s="61"/>
      <c r="BC2" s="61"/>
      <c r="BD2" s="61"/>
      <c r="BE2" s="4"/>
      <c r="BF2" s="4"/>
      <c r="BG2" s="4"/>
      <c r="BH2" s="4"/>
      <c r="BI2" s="4"/>
      <c r="BJ2" s="4"/>
      <c r="BK2" s="4"/>
      <c r="BL2" s="4"/>
      <c r="BM2" s="4"/>
    </row>
    <row r="3" ht="84.75" customHeight="1">
      <c r="A3" s="39"/>
      <c r="B3" s="62">
        <v>1.0</v>
      </c>
      <c r="C3" s="63" t="s">
        <v>90</v>
      </c>
      <c r="D3" s="64" t="s">
        <v>182</v>
      </c>
      <c r="E3" s="64" t="s">
        <v>64</v>
      </c>
      <c r="F3" s="65">
        <f>IF(ISBLANK(E3),"",VLOOKUP(E3,R_Inf_Proy,2,0))</f>
        <v>2019011000280</v>
      </c>
      <c r="G3" s="65" t="str">
        <f>IF(ISBLANK(E3),"",VLOOKUP(E3,R_Inf_Proy,3,0))</f>
        <v>Sostenibilidad</v>
      </c>
      <c r="H3" s="66" t="s">
        <v>67</v>
      </c>
      <c r="I3" s="66" t="s">
        <v>103</v>
      </c>
      <c r="J3" s="66" t="s">
        <v>130</v>
      </c>
      <c r="K3" s="66" t="s">
        <v>819</v>
      </c>
      <c r="L3" s="67" t="s">
        <v>60</v>
      </c>
      <c r="M3" s="67" t="s">
        <v>61</v>
      </c>
      <c r="N3" s="67" t="s">
        <v>855</v>
      </c>
      <c r="O3" s="68">
        <v>-7140.0</v>
      </c>
      <c r="P3" s="109">
        <f t="shared" ref="P3:P10" si="1">T3+U3+V3+W3</f>
        <v>250</v>
      </c>
      <c r="Q3" s="70" t="s">
        <v>728</v>
      </c>
      <c r="R3" s="71" t="s">
        <v>729</v>
      </c>
      <c r="S3" s="71" t="s">
        <v>179</v>
      </c>
      <c r="T3" s="109">
        <v>35.0</v>
      </c>
      <c r="U3" s="109">
        <v>90.0</v>
      </c>
      <c r="V3" s="109">
        <v>75.0</v>
      </c>
      <c r="W3" s="109">
        <v>50.0</v>
      </c>
      <c r="X3" s="70" t="s">
        <v>182</v>
      </c>
      <c r="Y3" s="71" t="s">
        <v>924</v>
      </c>
      <c r="Z3" s="71" t="s">
        <v>755</v>
      </c>
      <c r="AA3" s="71" t="s">
        <v>925</v>
      </c>
      <c r="AB3" s="72" t="s">
        <v>649</v>
      </c>
      <c r="AC3" s="63" t="s">
        <v>302</v>
      </c>
      <c r="AD3" s="63" t="s">
        <v>114</v>
      </c>
      <c r="AE3" s="63" t="s">
        <v>115</v>
      </c>
      <c r="AF3" s="63" t="s">
        <v>116</v>
      </c>
      <c r="AG3" s="63" t="s">
        <v>282</v>
      </c>
      <c r="AH3" s="63" t="s">
        <v>371</v>
      </c>
      <c r="AI3" s="73"/>
      <c r="AJ3" s="72" t="s">
        <v>845</v>
      </c>
      <c r="AK3" s="74"/>
      <c r="AL3" s="75"/>
      <c r="AM3" s="76" t="str">
        <f t="shared" ref="AM3:AM101" si="2">IF(K3="PRODUCTO",VLOOKUP(I3,#REF!,6,0),IF(K3="GESTIÓN",VLOOKUP(E3,#REF!,14,0),""))</f>
        <v>#REF!</v>
      </c>
      <c r="AO3" s="77" t="str">
        <f t="array" ref="AO3:AQ3">INDEX(R_Proy__ObjEsp,MATCH(E3,L_Proy,0))</f>
        <v>Mejorar la explotación de los recursos pesqueros y de la acuicultura.</v>
      </c>
      <c r="AP3" s="78" t="s">
        <v>68</v>
      </c>
      <c r="AQ3" s="78"/>
      <c r="AR3" s="79"/>
      <c r="AS3" s="78" t="str">
        <f t="array" ref="AS3:AV3">INDEX(R_ObjEsp__Prod,MATCH(H3,L_ObjEsp,0))</f>
        <v>Servicio de ordenación pesquera y de la acuicultura</v>
      </c>
      <c r="AT3" s="80" t="s">
        <v>103</v>
      </c>
      <c r="AU3" s="80"/>
      <c r="AV3" s="80"/>
      <c r="AW3" s="80"/>
      <c r="AX3" s="79"/>
      <c r="AY3" s="78" t="str">
        <f t="array" ref="AY3:BD3">INDEX(R_Pro__Act,MATCH(I3,L_Prod,0))</f>
        <v>Regular el manejo y el ejercicio de la actividad pesquera y de la acuicultura.</v>
      </c>
      <c r="AZ3" s="80" t="s">
        <v>131</v>
      </c>
      <c r="BA3" s="80"/>
      <c r="BB3" s="80"/>
      <c r="BC3" s="80"/>
      <c r="BD3" s="80"/>
      <c r="BE3" s="79"/>
      <c r="BF3" s="79"/>
      <c r="BG3" s="79"/>
      <c r="BH3" s="79"/>
      <c r="BI3" s="79"/>
      <c r="BJ3" s="79"/>
      <c r="BK3" s="79"/>
      <c r="BL3" s="79"/>
      <c r="BM3" s="79"/>
    </row>
    <row r="4" ht="67.5" customHeight="1">
      <c r="A4" s="39"/>
      <c r="B4" s="62">
        <v>2.0</v>
      </c>
      <c r="C4" s="63" t="s">
        <v>90</v>
      </c>
      <c r="D4" s="64" t="s">
        <v>182</v>
      </c>
      <c r="E4" s="64" t="s">
        <v>64</v>
      </c>
      <c r="F4" s="65">
        <f>IF(ISBLANK(E4),"",VLOOKUP(E4,R_Inf_Proy,2,0))</f>
        <v>2019011000280</v>
      </c>
      <c r="G4" s="65" t="str">
        <f>IF(ISBLANK(E4),"",VLOOKUP(E4,R_Inf_Proy,3,0))</f>
        <v>Sostenibilidad</v>
      </c>
      <c r="H4" s="66" t="s">
        <v>67</v>
      </c>
      <c r="I4" s="66" t="s">
        <v>103</v>
      </c>
      <c r="J4" s="66" t="s">
        <v>131</v>
      </c>
      <c r="K4" s="66" t="s">
        <v>112</v>
      </c>
      <c r="L4" s="67" t="s">
        <v>60</v>
      </c>
      <c r="M4" s="67" t="s">
        <v>61</v>
      </c>
      <c r="N4" s="67" t="s">
        <v>863</v>
      </c>
      <c r="O4" s="81"/>
      <c r="P4" s="109">
        <f t="shared" si="1"/>
        <v>40</v>
      </c>
      <c r="Q4" s="70" t="s">
        <v>926</v>
      </c>
      <c r="R4" s="71" t="s">
        <v>927</v>
      </c>
      <c r="S4" s="71" t="s">
        <v>137</v>
      </c>
      <c r="T4" s="109">
        <v>10.0</v>
      </c>
      <c r="U4" s="109">
        <v>10.0</v>
      </c>
      <c r="V4" s="109">
        <v>10.0</v>
      </c>
      <c r="W4" s="109">
        <v>10.0</v>
      </c>
      <c r="X4" s="70" t="s">
        <v>182</v>
      </c>
      <c r="Y4" s="71" t="s">
        <v>924</v>
      </c>
      <c r="Z4" s="71" t="s">
        <v>755</v>
      </c>
      <c r="AA4" s="71" t="s">
        <v>925</v>
      </c>
      <c r="AB4" s="72" t="s">
        <v>649</v>
      </c>
      <c r="AC4" s="63" t="s">
        <v>302</v>
      </c>
      <c r="AD4" s="63" t="s">
        <v>84</v>
      </c>
      <c r="AE4" s="63" t="s">
        <v>115</v>
      </c>
      <c r="AF4" s="63" t="s">
        <v>116</v>
      </c>
      <c r="AG4" s="63" t="s">
        <v>282</v>
      </c>
      <c r="AH4" s="63" t="s">
        <v>252</v>
      </c>
      <c r="AI4" s="73"/>
      <c r="AJ4" s="72" t="s">
        <v>845</v>
      </c>
      <c r="AK4" s="74"/>
      <c r="AL4" s="75"/>
      <c r="AM4" s="76" t="str">
        <f t="shared" si="2"/>
        <v/>
      </c>
      <c r="AO4" s="77" t="str">
        <f t="array" ref="AO4:AQ4">INDEX(R_Proy__ObjEsp,MATCH(E4,L_Proy,0))</f>
        <v>Mejorar la explotación de los recursos pesqueros y de la acuicultura.</v>
      </c>
      <c r="AP4" s="78" t="s">
        <v>68</v>
      </c>
      <c r="AQ4" s="78"/>
      <c r="AR4" s="79"/>
      <c r="AS4" s="78" t="str">
        <f t="array" ref="AS4:AV4">INDEX(R_ObjEsp__Prod,MATCH(H4,L_ObjEsp,0))</f>
        <v>Servicio de ordenación pesquera y de la acuicultura</v>
      </c>
      <c r="AT4" s="80" t="s">
        <v>103</v>
      </c>
      <c r="AU4" s="80"/>
      <c r="AV4" s="80"/>
      <c r="AW4" s="80"/>
      <c r="AX4" s="79"/>
      <c r="AY4" s="78" t="str">
        <f t="array" ref="AY4:BD4">INDEX(R_Pro__Act,MATCH(I4,L_Prod,0))</f>
        <v>Regular el manejo y el ejercicio de la actividad pesquera y de la acuicultura.</v>
      </c>
      <c r="AZ4" s="80" t="s">
        <v>131</v>
      </c>
      <c r="BA4" s="80"/>
      <c r="BB4" s="80"/>
      <c r="BC4" s="80"/>
      <c r="BD4" s="80"/>
      <c r="BE4" s="79"/>
      <c r="BF4" s="79"/>
      <c r="BG4" s="79"/>
      <c r="BH4" s="79"/>
      <c r="BI4" s="79"/>
      <c r="BJ4" s="79"/>
      <c r="BK4" s="79"/>
      <c r="BL4" s="79"/>
      <c r="BM4" s="79"/>
    </row>
    <row r="5" ht="67.5" customHeight="1">
      <c r="A5" s="39"/>
      <c r="B5" s="62">
        <v>3.0</v>
      </c>
      <c r="C5" s="63" t="s">
        <v>90</v>
      </c>
      <c r="D5" s="64" t="s">
        <v>182</v>
      </c>
      <c r="E5" s="64" t="s">
        <v>64</v>
      </c>
      <c r="F5" s="65">
        <f>IF(ISBLANK(E5),"",VLOOKUP(E5,R_Inf_Proy,2,0))</f>
        <v>2019011000280</v>
      </c>
      <c r="G5" s="65" t="str">
        <f>IF(ISBLANK(E5),"",VLOOKUP(E5,R_Inf_Proy,3,0))</f>
        <v>Sostenibilidad</v>
      </c>
      <c r="H5" s="66" t="s">
        <v>67</v>
      </c>
      <c r="I5" s="66" t="s">
        <v>103</v>
      </c>
      <c r="J5" s="66" t="s">
        <v>131</v>
      </c>
      <c r="K5" s="66" t="s">
        <v>112</v>
      </c>
      <c r="L5" s="67" t="s">
        <v>60</v>
      </c>
      <c r="M5" s="67" t="s">
        <v>61</v>
      </c>
      <c r="N5" s="67" t="s">
        <v>743</v>
      </c>
      <c r="O5" s="81"/>
      <c r="P5" s="109">
        <f t="shared" si="1"/>
        <v>130</v>
      </c>
      <c r="Q5" s="70" t="s">
        <v>928</v>
      </c>
      <c r="R5" s="71" t="s">
        <v>929</v>
      </c>
      <c r="S5" s="71" t="s">
        <v>137</v>
      </c>
      <c r="T5" s="109">
        <v>30.0</v>
      </c>
      <c r="U5" s="109">
        <v>35.0</v>
      </c>
      <c r="V5" s="109">
        <v>35.0</v>
      </c>
      <c r="W5" s="109">
        <v>30.0</v>
      </c>
      <c r="X5" s="70" t="s">
        <v>182</v>
      </c>
      <c r="Y5" s="71" t="s">
        <v>924</v>
      </c>
      <c r="Z5" s="71" t="s">
        <v>755</v>
      </c>
      <c r="AA5" s="71" t="s">
        <v>925</v>
      </c>
      <c r="AB5" s="72" t="s">
        <v>649</v>
      </c>
      <c r="AC5" s="63" t="s">
        <v>302</v>
      </c>
      <c r="AD5" s="63" t="s">
        <v>84</v>
      </c>
      <c r="AE5" s="63" t="s">
        <v>115</v>
      </c>
      <c r="AF5" s="63" t="s">
        <v>116</v>
      </c>
      <c r="AG5" s="63" t="s">
        <v>282</v>
      </c>
      <c r="AH5" s="63" t="s">
        <v>252</v>
      </c>
      <c r="AI5" s="73"/>
      <c r="AJ5" s="72" t="s">
        <v>845</v>
      </c>
      <c r="AK5" s="74"/>
      <c r="AL5" s="75"/>
      <c r="AM5" s="76" t="str">
        <f t="shared" si="2"/>
        <v/>
      </c>
      <c r="AO5" s="77" t="str">
        <f t="array" ref="AO5:AQ5">INDEX(R_Proy__ObjEsp,MATCH(E5,L_Proy,0))</f>
        <v>Mejorar la explotación de los recursos pesqueros y de la acuicultura.</v>
      </c>
      <c r="AP5" s="78" t="s">
        <v>68</v>
      </c>
      <c r="AQ5" s="78"/>
      <c r="AR5" s="79"/>
      <c r="AS5" s="78" t="str">
        <f t="array" ref="AS5:AV5">INDEX(R_ObjEsp__Prod,MATCH(H5,L_ObjEsp,0))</f>
        <v>Servicio de ordenación pesquera y de la acuicultura</v>
      </c>
      <c r="AT5" s="80" t="s">
        <v>103</v>
      </c>
      <c r="AU5" s="80"/>
      <c r="AV5" s="80"/>
      <c r="AW5" s="80"/>
      <c r="AX5" s="79"/>
      <c r="AY5" s="78" t="str">
        <f t="array" ref="AY5:BD5">INDEX(R_Pro__Act,MATCH(I5,L_Prod,0))</f>
        <v>Regular el manejo y el ejercicio de la actividad pesquera y de la acuicultura.</v>
      </c>
      <c r="AZ5" s="80" t="s">
        <v>131</v>
      </c>
      <c r="BA5" s="80"/>
      <c r="BB5" s="80"/>
      <c r="BC5" s="80"/>
      <c r="BD5" s="80"/>
      <c r="BE5" s="79"/>
      <c r="BF5" s="79"/>
      <c r="BG5" s="79"/>
      <c r="BH5" s="79"/>
      <c r="BI5" s="79"/>
      <c r="BJ5" s="79"/>
      <c r="BK5" s="79"/>
      <c r="BL5" s="79"/>
      <c r="BM5" s="79"/>
    </row>
    <row r="6" ht="67.5" customHeight="1">
      <c r="A6" s="39"/>
      <c r="B6" s="62">
        <v>4.0</v>
      </c>
      <c r="C6" s="63" t="s">
        <v>90</v>
      </c>
      <c r="D6" s="64" t="s">
        <v>182</v>
      </c>
      <c r="E6" s="64" t="s">
        <v>30</v>
      </c>
      <c r="F6" s="65">
        <f>IF(ISBLANK(E6),"",VLOOKUP(E6,R_Inf_Proy,2,0))</f>
        <v>2019011000276</v>
      </c>
      <c r="G6" s="65" t="str">
        <f>IF(ISBLANK(E6),"",VLOOKUP(E6,R_Inf_Proy,3,0))</f>
        <v>Inspección</v>
      </c>
      <c r="H6" s="66" t="s">
        <v>34</v>
      </c>
      <c r="I6" s="66" t="s">
        <v>69</v>
      </c>
      <c r="J6" s="66" t="s">
        <v>70</v>
      </c>
      <c r="K6" s="66" t="s">
        <v>112</v>
      </c>
      <c r="L6" s="67" t="s">
        <v>60</v>
      </c>
      <c r="M6" s="67" t="s">
        <v>61</v>
      </c>
      <c r="N6" s="67" t="s">
        <v>867</v>
      </c>
      <c r="O6" s="81"/>
      <c r="P6" s="109">
        <f t="shared" si="1"/>
        <v>40</v>
      </c>
      <c r="Q6" s="70" t="s">
        <v>930</v>
      </c>
      <c r="R6" s="71" t="s">
        <v>931</v>
      </c>
      <c r="S6" s="71" t="s">
        <v>137</v>
      </c>
      <c r="T6" s="109">
        <v>10.0</v>
      </c>
      <c r="U6" s="109">
        <v>30.0</v>
      </c>
      <c r="V6" s="109">
        <v>0.0</v>
      </c>
      <c r="W6" s="109">
        <v>0.0</v>
      </c>
      <c r="X6" s="70" t="s">
        <v>182</v>
      </c>
      <c r="Y6" s="71" t="s">
        <v>924</v>
      </c>
      <c r="Z6" s="71" t="s">
        <v>755</v>
      </c>
      <c r="AA6" s="71" t="s">
        <v>925</v>
      </c>
      <c r="AB6" s="72" t="s">
        <v>649</v>
      </c>
      <c r="AC6" s="63" t="s">
        <v>302</v>
      </c>
      <c r="AD6" s="63" t="s">
        <v>53</v>
      </c>
      <c r="AE6" s="63" t="s">
        <v>115</v>
      </c>
      <c r="AF6" s="63" t="s">
        <v>116</v>
      </c>
      <c r="AG6" s="63" t="s">
        <v>282</v>
      </c>
      <c r="AH6" s="63" t="s">
        <v>252</v>
      </c>
      <c r="AI6" s="73"/>
      <c r="AJ6" s="72" t="s">
        <v>845</v>
      </c>
      <c r="AK6" s="74"/>
      <c r="AL6" s="75"/>
      <c r="AM6" s="76" t="str">
        <f t="shared" si="2"/>
        <v/>
      </c>
      <c r="AO6" s="77" t="str">
        <f t="array" ref="AO6:AQ6">INDEX(R_Proy__ObjEsp,MATCH(E6,L_Proy,0))</f>
        <v>Fortalecer los mecanismos de seguimiento y control de la actividad pesquera y de la acuicultura.</v>
      </c>
      <c r="AP6" s="78" t="s">
        <v>34</v>
      </c>
      <c r="AQ6" s="78"/>
      <c r="AR6" s="79"/>
      <c r="AS6" s="78" t="str">
        <f t="array" ref="AS6:AV6">INDEX(R_ObjEsp__Prod,MATCH(H6,L_ObjEsp,0))</f>
        <v>Servicio de divulgación y socialización</v>
      </c>
      <c r="AT6" s="80"/>
      <c r="AU6" s="80"/>
      <c r="AV6" s="80"/>
      <c r="AW6" s="80"/>
      <c r="AX6" s="79"/>
      <c r="AY6" s="78" t="str">
        <f t="array" ref="AY6:BD6">INDEX(R_Pro__Act,MATCH(I6,L_Prod,0))</f>
        <v>Implementar las estrategias de socialización y Divulgación a la comunidad</v>
      </c>
      <c r="AZ6" s="80" t="s">
        <v>71</v>
      </c>
      <c r="BA6" s="80" t="s">
        <v>72</v>
      </c>
      <c r="BB6" s="80"/>
      <c r="BC6" s="80"/>
      <c r="BD6" s="80"/>
      <c r="BE6" s="79"/>
      <c r="BF6" s="79"/>
      <c r="BG6" s="79"/>
      <c r="BH6" s="79"/>
      <c r="BI6" s="79"/>
      <c r="BJ6" s="79"/>
      <c r="BK6" s="79"/>
      <c r="BL6" s="79"/>
      <c r="BM6" s="79"/>
    </row>
    <row r="7" ht="67.5" customHeight="1">
      <c r="A7" s="39"/>
      <c r="B7" s="62">
        <v>5.0</v>
      </c>
      <c r="C7" s="63" t="s">
        <v>120</v>
      </c>
      <c r="D7" s="64" t="s">
        <v>182</v>
      </c>
      <c r="E7" s="64" t="s">
        <v>30</v>
      </c>
      <c r="F7" s="65">
        <f>IF(ISBLANK(E7),"",VLOOKUP(E7,R_Inf_Proy,2,0))</f>
        <v>2019011000276</v>
      </c>
      <c r="G7" s="65" t="str">
        <f>IF(ISBLANK(E7),"",VLOOKUP(E7,R_Inf_Proy,3,0))</f>
        <v>Inspección</v>
      </c>
      <c r="H7" s="66" t="s">
        <v>33</v>
      </c>
      <c r="I7" s="66" t="s">
        <v>35</v>
      </c>
      <c r="J7" s="66" t="s">
        <v>40</v>
      </c>
      <c r="K7" s="66" t="s">
        <v>819</v>
      </c>
      <c r="L7" s="67" t="s">
        <v>60</v>
      </c>
      <c r="M7" s="67" t="s">
        <v>61</v>
      </c>
      <c r="N7" s="67" t="s">
        <v>596</v>
      </c>
      <c r="O7" s="68">
        <v>157.0</v>
      </c>
      <c r="P7" s="109">
        <f t="shared" si="1"/>
        <v>950</v>
      </c>
      <c r="Q7" s="70" t="s">
        <v>932</v>
      </c>
      <c r="R7" s="71" t="s">
        <v>933</v>
      </c>
      <c r="S7" s="71" t="s">
        <v>179</v>
      </c>
      <c r="T7" s="109">
        <v>250.0</v>
      </c>
      <c r="U7" s="109">
        <v>300.0</v>
      </c>
      <c r="V7" s="109">
        <v>230.0</v>
      </c>
      <c r="W7" s="109">
        <v>170.0</v>
      </c>
      <c r="X7" s="70" t="s">
        <v>182</v>
      </c>
      <c r="Y7" s="71" t="s">
        <v>924</v>
      </c>
      <c r="Z7" s="71" t="s">
        <v>755</v>
      </c>
      <c r="AA7" s="71" t="s">
        <v>925</v>
      </c>
      <c r="AB7" s="72" t="s">
        <v>649</v>
      </c>
      <c r="AC7" s="63" t="s">
        <v>302</v>
      </c>
      <c r="AD7" s="63" t="s">
        <v>53</v>
      </c>
      <c r="AE7" s="63" t="s">
        <v>115</v>
      </c>
      <c r="AF7" s="63" t="s">
        <v>116</v>
      </c>
      <c r="AG7" s="63" t="s">
        <v>282</v>
      </c>
      <c r="AH7" s="63" t="s">
        <v>191</v>
      </c>
      <c r="AI7" s="73"/>
      <c r="AJ7" s="72"/>
      <c r="AK7" s="74"/>
      <c r="AL7" s="75"/>
      <c r="AM7" s="76" t="str">
        <f t="shared" si="2"/>
        <v>#REF!</v>
      </c>
      <c r="AO7" s="77" t="str">
        <f t="array" ref="AO7:AQ7">INDEX(R_Proy__ObjEsp,MATCH(E7,L_Proy,0))</f>
        <v>Fortalecer los mecanismos de seguimiento y control de la actividad pesquera y de la acuicultura.</v>
      </c>
      <c r="AP7" s="78" t="s">
        <v>34</v>
      </c>
      <c r="AQ7" s="78"/>
      <c r="AR7" s="79"/>
      <c r="AS7" s="78" t="str">
        <f t="array" ref="AS7:AV7">INDEX(R_ObjEsp__Prod,MATCH(H7,L_ObjEsp,0))</f>
        <v>Servicio de inspección, vigilancia y control de la pesca y la acuicultura</v>
      </c>
      <c r="AT7" s="80"/>
      <c r="AU7" s="80"/>
      <c r="AV7" s="80"/>
      <c r="AW7" s="80"/>
      <c r="AX7" s="79"/>
      <c r="AY7" s="78" t="str">
        <f t="array" ref="AY7:BD7">INDEX(R_Pro__Act,MATCH(I7,L_Prod,0))</f>
        <v>Realizar seguimiento y actualización al registro general de pesca.</v>
      </c>
      <c r="AZ7" s="80" t="s">
        <v>37</v>
      </c>
      <c r="BA7" s="80" t="s">
        <v>38</v>
      </c>
      <c r="BB7" s="80" t="s">
        <v>39</v>
      </c>
      <c r="BC7" s="80" t="s">
        <v>40</v>
      </c>
      <c r="BD7" s="80" t="s">
        <v>41</v>
      </c>
      <c r="BE7" s="79"/>
      <c r="BF7" s="79"/>
      <c r="BG7" s="79"/>
      <c r="BH7" s="79"/>
      <c r="BI7" s="79"/>
      <c r="BJ7" s="79"/>
      <c r="BK7" s="79"/>
      <c r="BL7" s="79"/>
      <c r="BM7" s="79"/>
    </row>
    <row r="8" ht="67.5" customHeight="1">
      <c r="A8" s="39"/>
      <c r="B8" s="62">
        <v>6.0</v>
      </c>
      <c r="C8" s="63" t="s">
        <v>90</v>
      </c>
      <c r="D8" s="64" t="s">
        <v>182</v>
      </c>
      <c r="E8" s="64" t="s">
        <v>64</v>
      </c>
      <c r="F8" s="65">
        <f>IF(ISBLANK(E8),"",VLOOKUP(E8,R_Inf_Proy,2,0))</f>
        <v>2019011000280</v>
      </c>
      <c r="G8" s="65" t="str">
        <f>IF(ISBLANK(E8),"",VLOOKUP(E8,R_Inf_Proy,3,0))</f>
        <v>Sostenibilidad</v>
      </c>
      <c r="H8" s="66" t="s">
        <v>67</v>
      </c>
      <c r="I8" s="66" t="s">
        <v>103</v>
      </c>
      <c r="J8" s="66" t="s">
        <v>130</v>
      </c>
      <c r="K8" s="66" t="s">
        <v>112</v>
      </c>
      <c r="L8" s="67" t="s">
        <v>60</v>
      </c>
      <c r="M8" s="67" t="s">
        <v>61</v>
      </c>
      <c r="N8" s="67" t="s">
        <v>865</v>
      </c>
      <c r="O8" s="81"/>
      <c r="P8" s="68">
        <f t="shared" si="1"/>
        <v>1100</v>
      </c>
      <c r="Q8" s="70" t="s">
        <v>934</v>
      </c>
      <c r="R8" s="71" t="s">
        <v>935</v>
      </c>
      <c r="S8" s="71" t="s">
        <v>137</v>
      </c>
      <c r="T8" s="109">
        <v>300.0</v>
      </c>
      <c r="U8" s="109">
        <v>250.0</v>
      </c>
      <c r="V8" s="109">
        <v>250.0</v>
      </c>
      <c r="W8" s="109">
        <v>300.0</v>
      </c>
      <c r="X8" s="70" t="s">
        <v>182</v>
      </c>
      <c r="Y8" s="71" t="s">
        <v>924</v>
      </c>
      <c r="Z8" s="71" t="s">
        <v>755</v>
      </c>
      <c r="AA8" s="71" t="s">
        <v>925</v>
      </c>
      <c r="AB8" s="72" t="s">
        <v>649</v>
      </c>
      <c r="AC8" s="63" t="s">
        <v>302</v>
      </c>
      <c r="AD8" s="63" t="s">
        <v>114</v>
      </c>
      <c r="AE8" s="63" t="s">
        <v>115</v>
      </c>
      <c r="AF8" s="63" t="s">
        <v>303</v>
      </c>
      <c r="AG8" s="63" t="s">
        <v>282</v>
      </c>
      <c r="AH8" s="63" t="s">
        <v>371</v>
      </c>
      <c r="AI8" s="73"/>
      <c r="AJ8" s="72" t="s">
        <v>845</v>
      </c>
      <c r="AK8" s="74"/>
      <c r="AL8" s="75"/>
      <c r="AM8" s="76" t="str">
        <f t="shared" si="2"/>
        <v/>
      </c>
      <c r="AO8" s="77" t="str">
        <f t="array" ref="AO8:AQ8">INDEX(R_Proy__ObjEsp,MATCH(E8,L_Proy,0))</f>
        <v>Mejorar la explotación de los recursos pesqueros y de la acuicultura.</v>
      </c>
      <c r="AP8" s="78" t="s">
        <v>68</v>
      </c>
      <c r="AQ8" s="78"/>
      <c r="AR8" s="79"/>
      <c r="AS8" s="78" t="str">
        <f t="array" ref="AS8:AV8">INDEX(R_ObjEsp__Prod,MATCH(H8,L_ObjEsp,0))</f>
        <v>Servicio de ordenación pesquera y de la acuicultura</v>
      </c>
      <c r="AT8" s="80" t="s">
        <v>103</v>
      </c>
      <c r="AU8" s="80"/>
      <c r="AV8" s="80"/>
      <c r="AW8" s="80"/>
      <c r="AX8" s="79"/>
      <c r="AY8" s="78" t="str">
        <f t="array" ref="AY8:BD8">INDEX(R_Pro__Act,MATCH(I8,L_Prod,0))</f>
        <v>Regular el manejo y el ejercicio de la actividad pesquera y de la acuicultura.</v>
      </c>
      <c r="AZ8" s="80" t="s">
        <v>131</v>
      </c>
      <c r="BA8" s="80"/>
      <c r="BB8" s="80"/>
      <c r="BC8" s="80"/>
      <c r="BD8" s="80"/>
      <c r="BE8" s="79"/>
      <c r="BF8" s="79"/>
      <c r="BG8" s="79"/>
      <c r="BH8" s="79"/>
      <c r="BI8" s="79"/>
      <c r="BJ8" s="79"/>
      <c r="BK8" s="79"/>
      <c r="BL8" s="79"/>
      <c r="BM8" s="79"/>
    </row>
    <row r="9" ht="67.5" customHeight="1">
      <c r="A9" s="39"/>
      <c r="B9" s="62">
        <v>7.0</v>
      </c>
      <c r="C9" s="63" t="s">
        <v>90</v>
      </c>
      <c r="D9" s="64" t="s">
        <v>182</v>
      </c>
      <c r="E9" s="64" t="s">
        <v>64</v>
      </c>
      <c r="F9" s="65">
        <f>IF(ISBLANK(E9),"",VLOOKUP(E9,R_Inf_Proy,2,0))</f>
        <v>2019011000280</v>
      </c>
      <c r="G9" s="65" t="str">
        <f>IF(ISBLANK(E9),"",VLOOKUP(E9,R_Inf_Proy,3,0))</f>
        <v>Sostenibilidad</v>
      </c>
      <c r="H9" s="66" t="s">
        <v>67</v>
      </c>
      <c r="I9" s="66" t="s">
        <v>103</v>
      </c>
      <c r="J9" s="66" t="s">
        <v>130</v>
      </c>
      <c r="K9" s="66" t="s">
        <v>112</v>
      </c>
      <c r="L9" s="67" t="s">
        <v>60</v>
      </c>
      <c r="M9" s="67" t="s">
        <v>61</v>
      </c>
      <c r="N9" s="67" t="s">
        <v>936</v>
      </c>
      <c r="O9" s="84"/>
      <c r="P9" s="109">
        <f t="shared" si="1"/>
        <v>200</v>
      </c>
      <c r="Q9" s="70" t="s">
        <v>937</v>
      </c>
      <c r="R9" s="71" t="s">
        <v>938</v>
      </c>
      <c r="S9" s="71" t="s">
        <v>137</v>
      </c>
      <c r="T9" s="109">
        <v>80.0</v>
      </c>
      <c r="U9" s="109">
        <v>10.0</v>
      </c>
      <c r="V9" s="109">
        <v>0.0</v>
      </c>
      <c r="W9" s="109">
        <v>110.0</v>
      </c>
      <c r="X9" s="70" t="s">
        <v>182</v>
      </c>
      <c r="Y9" s="71" t="s">
        <v>924</v>
      </c>
      <c r="Z9" s="71" t="s">
        <v>755</v>
      </c>
      <c r="AA9" s="71" t="s">
        <v>925</v>
      </c>
      <c r="AB9" s="72" t="s">
        <v>649</v>
      </c>
      <c r="AC9" s="63" t="s">
        <v>302</v>
      </c>
      <c r="AD9" s="63" t="s">
        <v>114</v>
      </c>
      <c r="AE9" s="63" t="s">
        <v>115</v>
      </c>
      <c r="AF9" s="63" t="s">
        <v>303</v>
      </c>
      <c r="AG9" s="63" t="s">
        <v>282</v>
      </c>
      <c r="AH9" s="63" t="s">
        <v>340</v>
      </c>
      <c r="AI9" s="73"/>
      <c r="AJ9" s="72" t="s">
        <v>845</v>
      </c>
      <c r="AK9" s="74"/>
      <c r="AL9" s="75"/>
      <c r="AM9" s="76" t="str">
        <f t="shared" si="2"/>
        <v/>
      </c>
      <c r="AO9" s="77" t="str">
        <f t="array" ref="AO9:AQ9">INDEX(R_Proy__ObjEsp,MATCH(E9,L_Proy,0))</f>
        <v>Mejorar la explotación de los recursos pesqueros y de la acuicultura.</v>
      </c>
      <c r="AP9" s="78" t="s">
        <v>68</v>
      </c>
      <c r="AQ9" s="78"/>
      <c r="AR9" s="79"/>
      <c r="AS9" s="78" t="str">
        <f t="array" ref="AS9:AV9">INDEX(R_ObjEsp__Prod,MATCH(H9,L_ObjEsp,0))</f>
        <v>Servicio de ordenación pesquera y de la acuicultura</v>
      </c>
      <c r="AT9" s="80" t="s">
        <v>103</v>
      </c>
      <c r="AU9" s="80"/>
      <c r="AV9" s="80"/>
      <c r="AW9" s="80"/>
      <c r="AX9" s="79"/>
      <c r="AY9" s="78" t="str">
        <f t="array" ref="AY9:BD9">INDEX(R_Pro__Act,MATCH(I9,L_Prod,0))</f>
        <v>Regular el manejo y el ejercicio de la actividad pesquera y de la acuicultura.</v>
      </c>
      <c r="AZ9" s="80" t="s">
        <v>131</v>
      </c>
      <c r="BA9" s="80"/>
      <c r="BB9" s="80"/>
      <c r="BC9" s="80"/>
      <c r="BD9" s="80"/>
      <c r="BE9" s="79"/>
      <c r="BF9" s="79"/>
      <c r="BG9" s="79"/>
      <c r="BH9" s="79"/>
      <c r="BI9" s="79"/>
      <c r="BJ9" s="79"/>
      <c r="BK9" s="79"/>
      <c r="BL9" s="79"/>
      <c r="BM9" s="79"/>
    </row>
    <row r="10" ht="67.5" customHeight="1">
      <c r="A10" s="39"/>
      <c r="B10" s="62">
        <v>8.0</v>
      </c>
      <c r="C10" s="63" t="s">
        <v>90</v>
      </c>
      <c r="D10" s="64" t="s">
        <v>182</v>
      </c>
      <c r="E10" s="64" t="s">
        <v>64</v>
      </c>
      <c r="F10" s="65">
        <f>IF(ISBLANK(E10),"",VLOOKUP(E10,R_Inf_Proy,2,0))</f>
        <v>2019011000280</v>
      </c>
      <c r="G10" s="65" t="str">
        <f>IF(ISBLANK(E10),"",VLOOKUP(E10,R_Inf_Proy,3,0))</f>
        <v>Sostenibilidad</v>
      </c>
      <c r="H10" s="66" t="s">
        <v>67</v>
      </c>
      <c r="I10" s="66" t="s">
        <v>103</v>
      </c>
      <c r="J10" s="66" t="s">
        <v>130</v>
      </c>
      <c r="K10" s="66" t="s">
        <v>112</v>
      </c>
      <c r="L10" s="67" t="s">
        <v>60</v>
      </c>
      <c r="M10" s="67" t="s">
        <v>61</v>
      </c>
      <c r="N10" s="67" t="s">
        <v>939</v>
      </c>
      <c r="O10" s="81"/>
      <c r="P10" s="68">
        <f t="shared" si="1"/>
        <v>2000</v>
      </c>
      <c r="Q10" s="70" t="s">
        <v>940</v>
      </c>
      <c r="R10" s="71" t="s">
        <v>941</v>
      </c>
      <c r="S10" s="71" t="s">
        <v>137</v>
      </c>
      <c r="T10" s="68">
        <v>1500.0</v>
      </c>
      <c r="U10" s="109">
        <v>500.0</v>
      </c>
      <c r="V10" s="109">
        <v>0.0</v>
      </c>
      <c r="W10" s="109">
        <v>0.0</v>
      </c>
      <c r="X10" s="70" t="s">
        <v>182</v>
      </c>
      <c r="Y10" s="71" t="s">
        <v>924</v>
      </c>
      <c r="Z10" s="71" t="s">
        <v>755</v>
      </c>
      <c r="AA10" s="71" t="s">
        <v>925</v>
      </c>
      <c r="AB10" s="72" t="s">
        <v>649</v>
      </c>
      <c r="AC10" s="63" t="s">
        <v>302</v>
      </c>
      <c r="AD10" s="63" t="s">
        <v>114</v>
      </c>
      <c r="AE10" s="63" t="s">
        <v>115</v>
      </c>
      <c r="AF10" s="63" t="s">
        <v>303</v>
      </c>
      <c r="AG10" s="63" t="s">
        <v>282</v>
      </c>
      <c r="AH10" s="63" t="s">
        <v>331</v>
      </c>
      <c r="AI10" s="73"/>
      <c r="AJ10" s="72" t="s">
        <v>845</v>
      </c>
      <c r="AK10" s="74"/>
      <c r="AL10" s="75"/>
      <c r="AM10" s="76" t="str">
        <f t="shared" si="2"/>
        <v/>
      </c>
      <c r="AO10" s="77" t="str">
        <f t="array" ref="AO10:AQ10">INDEX(R_Proy__ObjEsp,MATCH(E10,L_Proy,0))</f>
        <v>Mejorar la explotación de los recursos pesqueros y de la acuicultura.</v>
      </c>
      <c r="AP10" s="78" t="s">
        <v>68</v>
      </c>
      <c r="AQ10" s="78"/>
      <c r="AR10" s="79"/>
      <c r="AS10" s="78" t="str">
        <f t="array" ref="AS10:AV10">INDEX(R_ObjEsp__Prod,MATCH(H10,L_ObjEsp,0))</f>
        <v>Servicio de ordenación pesquera y de la acuicultura</v>
      </c>
      <c r="AT10" s="80" t="s">
        <v>103</v>
      </c>
      <c r="AU10" s="80"/>
      <c r="AV10" s="80"/>
      <c r="AW10" s="80"/>
      <c r="AX10" s="79"/>
      <c r="AY10" s="78" t="str">
        <f t="array" ref="AY10:BD10">INDEX(R_Pro__Act,MATCH(I10,L_Prod,0))</f>
        <v>Regular el manejo y el ejercicio de la actividad pesquera y de la acuicultura.</v>
      </c>
      <c r="AZ10" s="80" t="s">
        <v>131</v>
      </c>
      <c r="BA10" s="80"/>
      <c r="BB10" s="80"/>
      <c r="BC10" s="80"/>
      <c r="BD10" s="80"/>
      <c r="BE10" s="79"/>
      <c r="BF10" s="79"/>
      <c r="BG10" s="79"/>
      <c r="BH10" s="79"/>
      <c r="BI10" s="79"/>
      <c r="BJ10" s="79"/>
      <c r="BK10" s="79"/>
      <c r="BL10" s="79"/>
      <c r="BM10" s="79"/>
    </row>
    <row r="11" ht="67.5" customHeight="1">
      <c r="A11" s="39"/>
      <c r="B11" s="62">
        <v>9.0</v>
      </c>
      <c r="C11" s="63" t="s">
        <v>90</v>
      </c>
      <c r="D11" s="64" t="s">
        <v>182</v>
      </c>
      <c r="E11" s="64" t="s">
        <v>64</v>
      </c>
      <c r="F11" s="65">
        <f>IF(ISBLANK(E11),"",VLOOKUP(E11,R_Inf_Proy,2,0))</f>
        <v>2019011000280</v>
      </c>
      <c r="G11" s="65" t="str">
        <f>IF(ISBLANK(E11),"",VLOOKUP(E11,R_Inf_Proy,3,0))</f>
        <v>Sostenibilidad</v>
      </c>
      <c r="H11" s="70" t="s">
        <v>67</v>
      </c>
      <c r="I11" s="70" t="s">
        <v>103</v>
      </c>
      <c r="J11" s="70" t="s">
        <v>130</v>
      </c>
      <c r="K11" s="70" t="s">
        <v>51</v>
      </c>
      <c r="L11" s="67" t="s">
        <v>60</v>
      </c>
      <c r="M11" s="67" t="s">
        <v>61</v>
      </c>
      <c r="N11" s="67" t="s">
        <v>854</v>
      </c>
      <c r="O11" s="81"/>
      <c r="P11" s="68">
        <v>800.0</v>
      </c>
      <c r="Q11" s="70" t="s">
        <v>759</v>
      </c>
      <c r="R11" s="71" t="s">
        <v>942</v>
      </c>
      <c r="S11" s="71" t="s">
        <v>137</v>
      </c>
      <c r="T11" s="68">
        <v>50.0</v>
      </c>
      <c r="U11" s="68">
        <v>350.0</v>
      </c>
      <c r="V11" s="68">
        <v>200.0</v>
      </c>
      <c r="W11" s="68">
        <v>200.0</v>
      </c>
      <c r="X11" s="70" t="s">
        <v>182</v>
      </c>
      <c r="Y11" s="71" t="s">
        <v>924</v>
      </c>
      <c r="Z11" s="71" t="s">
        <v>755</v>
      </c>
      <c r="AA11" s="71" t="s">
        <v>925</v>
      </c>
      <c r="AB11" s="72" t="s">
        <v>649</v>
      </c>
      <c r="AC11" s="63" t="s">
        <v>302</v>
      </c>
      <c r="AD11" s="63" t="s">
        <v>114</v>
      </c>
      <c r="AE11" s="63" t="s">
        <v>115</v>
      </c>
      <c r="AF11" s="63" t="s">
        <v>303</v>
      </c>
      <c r="AG11" s="63" t="s">
        <v>282</v>
      </c>
      <c r="AH11" s="63" t="s">
        <v>371</v>
      </c>
      <c r="AI11" s="73"/>
      <c r="AJ11" s="72" t="s">
        <v>845</v>
      </c>
      <c r="AK11" s="74"/>
      <c r="AL11" s="75"/>
      <c r="AM11" s="76" t="str">
        <f t="shared" si="2"/>
        <v/>
      </c>
      <c r="AN11" s="300"/>
      <c r="AO11" s="301" t="str">
        <f t="array" ref="AO11:AQ11">INDEX(R_Proy__ObjEsp,MATCH(E11,L_Proy,0))</f>
        <v>Mejorar la explotación de los recursos pesqueros y de la acuicultura.</v>
      </c>
      <c r="AP11" s="302" t="s">
        <v>68</v>
      </c>
      <c r="AQ11" s="302"/>
      <c r="AR11" s="303"/>
      <c r="AS11" s="302" t="str">
        <f t="array" ref="AS11:AV11">INDEX(R_ObjEsp__Prod,MATCH(H11,L_ObjEsp,0))</f>
        <v>Servicio de ordenación pesquera y de la acuicultura</v>
      </c>
      <c r="AT11" s="80" t="s">
        <v>103</v>
      </c>
      <c r="AU11" s="80"/>
      <c r="AV11" s="80"/>
      <c r="AW11" s="304"/>
      <c r="AX11" s="303"/>
      <c r="AY11" s="302" t="str">
        <f t="array" ref="AY11:BD11">INDEX(R_Pro__Act,MATCH(I11,L_Prod,0))</f>
        <v>Regular el manejo y el ejercicio de la actividad pesquera y de la acuicultura.</v>
      </c>
      <c r="AZ11" s="80" t="s">
        <v>131</v>
      </c>
      <c r="BA11" s="80"/>
      <c r="BB11" s="80"/>
      <c r="BC11" s="80"/>
      <c r="BD11" s="80"/>
      <c r="BE11" s="303"/>
      <c r="BF11" s="303"/>
      <c r="BG11" s="303"/>
      <c r="BH11" s="303"/>
      <c r="BI11" s="303"/>
      <c r="BJ11" s="303"/>
      <c r="BK11" s="303"/>
      <c r="BL11" s="303"/>
      <c r="BM11" s="303"/>
    </row>
    <row r="12" ht="67.5" customHeight="1">
      <c r="A12" s="39"/>
      <c r="B12" s="62">
        <v>10.0</v>
      </c>
      <c r="C12" s="63" t="s">
        <v>90</v>
      </c>
      <c r="D12" s="64" t="s">
        <v>182</v>
      </c>
      <c r="E12" s="64" t="s">
        <v>64</v>
      </c>
      <c r="F12" s="65">
        <f>IF(ISBLANK(E12),"",VLOOKUP(E12,R_Inf_Proy,2,0))</f>
        <v>2019011000280</v>
      </c>
      <c r="G12" s="65" t="str">
        <f>IF(ISBLANK(E12),"",VLOOKUP(E12,R_Inf_Proy,3,0))</f>
        <v>Sostenibilidad</v>
      </c>
      <c r="H12" s="70" t="s">
        <v>67</v>
      </c>
      <c r="I12" s="70" t="s">
        <v>103</v>
      </c>
      <c r="J12" s="70" t="s">
        <v>130</v>
      </c>
      <c r="K12" s="70" t="s">
        <v>112</v>
      </c>
      <c r="L12" s="67" t="s">
        <v>60</v>
      </c>
      <c r="M12" s="67" t="s">
        <v>61</v>
      </c>
      <c r="N12" s="67" t="s">
        <v>943</v>
      </c>
      <c r="O12" s="81"/>
      <c r="P12" s="68">
        <f t="shared" ref="P12:P13" si="3">T12+U12+V12+W12</f>
        <v>6</v>
      </c>
      <c r="Q12" s="70" t="s">
        <v>778</v>
      </c>
      <c r="R12" s="71" t="s">
        <v>944</v>
      </c>
      <c r="S12" s="71" t="s">
        <v>137</v>
      </c>
      <c r="T12" s="68">
        <v>0.0</v>
      </c>
      <c r="U12" s="68">
        <v>3.0</v>
      </c>
      <c r="V12" s="68">
        <v>3.0</v>
      </c>
      <c r="W12" s="68">
        <v>0.0</v>
      </c>
      <c r="X12" s="70" t="s">
        <v>182</v>
      </c>
      <c r="Y12" s="71" t="s">
        <v>924</v>
      </c>
      <c r="Z12" s="71" t="s">
        <v>755</v>
      </c>
      <c r="AA12" s="71" t="s">
        <v>925</v>
      </c>
      <c r="AB12" s="72" t="s">
        <v>649</v>
      </c>
      <c r="AC12" s="63" t="s">
        <v>302</v>
      </c>
      <c r="AD12" s="63" t="s">
        <v>53</v>
      </c>
      <c r="AE12" s="63" t="s">
        <v>115</v>
      </c>
      <c r="AF12" s="63" t="s">
        <v>303</v>
      </c>
      <c r="AG12" s="63" t="s">
        <v>282</v>
      </c>
      <c r="AH12" s="63" t="s">
        <v>371</v>
      </c>
      <c r="AI12" s="73"/>
      <c r="AJ12" s="72" t="s">
        <v>845</v>
      </c>
      <c r="AK12" s="74"/>
      <c r="AL12" s="75"/>
      <c r="AM12" s="76" t="str">
        <f t="shared" si="2"/>
        <v/>
      </c>
      <c r="AN12" s="11"/>
      <c r="AO12" s="301" t="str">
        <f t="array" ref="AO12:AQ12">INDEX(R_Proy__ObjEsp,MATCH(E12,L_Proy,0))</f>
        <v>Mejorar la explotación de los recursos pesqueros y de la acuicultura.</v>
      </c>
      <c r="AP12" s="302" t="s">
        <v>68</v>
      </c>
      <c r="AQ12" s="302"/>
      <c r="AR12" s="79"/>
      <c r="AS12" s="302" t="str">
        <f t="array" ref="AS12:AV12">INDEX(R_ObjEsp__Prod,MATCH(H12,L_ObjEsp,0))</f>
        <v>Servicio de ordenación pesquera y de la acuicultura</v>
      </c>
      <c r="AT12" s="80" t="s">
        <v>103</v>
      </c>
      <c r="AU12" s="80"/>
      <c r="AV12" s="80"/>
      <c r="AW12" s="80"/>
      <c r="AX12" s="79"/>
      <c r="AY12" s="302" t="str">
        <f t="array" ref="AY12:BD12">INDEX(R_Pro__Act,MATCH(I12,L_Prod,0))</f>
        <v>Regular el manejo y el ejercicio de la actividad pesquera y de la acuicultura.</v>
      </c>
      <c r="AZ12" s="80" t="s">
        <v>131</v>
      </c>
      <c r="BA12" s="80"/>
      <c r="BB12" s="80"/>
      <c r="BC12" s="80"/>
      <c r="BD12" s="80"/>
      <c r="BE12" s="79"/>
      <c r="BF12" s="79"/>
      <c r="BG12" s="79"/>
      <c r="BH12" s="79"/>
      <c r="BI12" s="79"/>
      <c r="BJ12" s="79"/>
      <c r="BK12" s="79"/>
      <c r="BL12" s="79"/>
      <c r="BM12" s="79"/>
    </row>
    <row r="13" ht="67.5" customHeight="1">
      <c r="A13" s="39"/>
      <c r="B13" s="62">
        <v>11.0</v>
      </c>
      <c r="C13" s="63" t="s">
        <v>90</v>
      </c>
      <c r="D13" s="64" t="s">
        <v>195</v>
      </c>
      <c r="E13" s="64" t="s">
        <v>64</v>
      </c>
      <c r="F13" s="65">
        <f>IF(ISBLANK(E13),"",VLOOKUP(E13,R_Inf_Proy,2,0))</f>
        <v>2019011000280</v>
      </c>
      <c r="G13" s="65" t="str">
        <f>IF(ISBLANK(E13),"",VLOOKUP(E13,R_Inf_Proy,3,0))</f>
        <v>Sostenibilidad</v>
      </c>
      <c r="H13" s="70" t="s">
        <v>67</v>
      </c>
      <c r="I13" s="70" t="s">
        <v>103</v>
      </c>
      <c r="J13" s="70" t="s">
        <v>130</v>
      </c>
      <c r="K13" s="70" t="s">
        <v>112</v>
      </c>
      <c r="L13" s="67" t="s">
        <v>60</v>
      </c>
      <c r="M13" s="67" t="s">
        <v>61</v>
      </c>
      <c r="N13" s="67" t="s">
        <v>945</v>
      </c>
      <c r="O13" s="81"/>
      <c r="P13" s="81">
        <f t="shared" si="3"/>
        <v>35</v>
      </c>
      <c r="Q13" s="70" t="s">
        <v>946</v>
      </c>
      <c r="R13" s="71" t="s">
        <v>947</v>
      </c>
      <c r="S13" s="71" t="s">
        <v>137</v>
      </c>
      <c r="T13" s="68">
        <v>0.0</v>
      </c>
      <c r="U13" s="68">
        <v>15.0</v>
      </c>
      <c r="V13" s="68">
        <v>20.0</v>
      </c>
      <c r="W13" s="68">
        <v>0.0</v>
      </c>
      <c r="X13" s="70" t="s">
        <v>182</v>
      </c>
      <c r="Y13" s="71" t="s">
        <v>924</v>
      </c>
      <c r="Z13" s="71" t="s">
        <v>755</v>
      </c>
      <c r="AA13" s="71" t="s">
        <v>925</v>
      </c>
      <c r="AB13" s="72" t="s">
        <v>649</v>
      </c>
      <c r="AC13" s="63" t="s">
        <v>302</v>
      </c>
      <c r="AD13" s="63" t="s">
        <v>114</v>
      </c>
      <c r="AE13" s="63" t="s">
        <v>115</v>
      </c>
      <c r="AF13" s="63" t="s">
        <v>303</v>
      </c>
      <c r="AG13" s="63" t="s">
        <v>282</v>
      </c>
      <c r="AH13" s="63" t="s">
        <v>191</v>
      </c>
      <c r="AI13" s="73"/>
      <c r="AJ13" s="72" t="s">
        <v>845</v>
      </c>
      <c r="AK13" s="74"/>
      <c r="AL13" s="75"/>
      <c r="AM13" s="76" t="str">
        <f t="shared" si="2"/>
        <v/>
      </c>
      <c r="AN13" s="11"/>
      <c r="AO13" s="301" t="str">
        <f t="array" ref="AO13:AQ13">INDEX(R_Proy__ObjEsp,MATCH(E13,L_Proy,0))</f>
        <v>Mejorar la explotación de los recursos pesqueros y de la acuicultura.</v>
      </c>
      <c r="AP13" s="302" t="s">
        <v>68</v>
      </c>
      <c r="AQ13" s="302"/>
      <c r="AR13" s="79"/>
      <c r="AS13" s="302" t="str">
        <f t="array" ref="AS13:AV13">INDEX(R_ObjEsp__Prod,MATCH(H13,L_ObjEsp,0))</f>
        <v>Servicio de ordenación pesquera y de la acuicultura</v>
      </c>
      <c r="AT13" s="80" t="s">
        <v>103</v>
      </c>
      <c r="AU13" s="80"/>
      <c r="AV13" s="80"/>
      <c r="AW13" s="80"/>
      <c r="AX13" s="79"/>
      <c r="AY13" s="302" t="str">
        <f t="array" ref="AY13:BD13">INDEX(R_Pro__Act,MATCH(I13,L_Prod,0))</f>
        <v>Regular el manejo y el ejercicio de la actividad pesquera y de la acuicultura.</v>
      </c>
      <c r="AZ13" s="80" t="s">
        <v>131</v>
      </c>
      <c r="BA13" s="80"/>
      <c r="BB13" s="80"/>
      <c r="BC13" s="80"/>
      <c r="BD13" s="80"/>
      <c r="BE13" s="79"/>
      <c r="BF13" s="79"/>
      <c r="BG13" s="79"/>
      <c r="BH13" s="79"/>
      <c r="BI13" s="79"/>
      <c r="BJ13" s="79"/>
      <c r="BK13" s="79"/>
      <c r="BL13" s="79"/>
      <c r="BM13" s="79"/>
    </row>
    <row r="14" ht="67.5" customHeight="1">
      <c r="A14" s="39"/>
      <c r="B14" s="62">
        <v>12.0</v>
      </c>
      <c r="C14" s="63"/>
      <c r="D14" s="64"/>
      <c r="E14" s="64"/>
      <c r="F14" s="65" t="str">
        <f>IF(ISBLANK(E14),"",VLOOKUP(E14,R_Inf_Proy,2,0))</f>
        <v/>
      </c>
      <c r="G14" s="65" t="str">
        <f>IF(ISBLANK(E14),"",VLOOKUP(E14,R_Inf_Proy,3,0))</f>
        <v/>
      </c>
      <c r="H14" s="66"/>
      <c r="I14" s="66"/>
      <c r="J14" s="66"/>
      <c r="K14" s="66"/>
      <c r="L14" s="67"/>
      <c r="M14" s="67"/>
      <c r="N14" s="67"/>
      <c r="O14" s="81"/>
      <c r="P14" s="81"/>
      <c r="Q14" s="82"/>
      <c r="R14" s="83"/>
      <c r="S14" s="83"/>
      <c r="T14" s="81"/>
      <c r="U14" s="81"/>
      <c r="V14" s="81"/>
      <c r="W14" s="81"/>
      <c r="X14" s="82"/>
      <c r="Y14" s="83"/>
      <c r="Z14" s="83"/>
      <c r="AA14" s="83"/>
      <c r="AB14" s="73"/>
      <c r="AC14" s="63"/>
      <c r="AD14" s="63"/>
      <c r="AE14" s="63"/>
      <c r="AF14" s="63"/>
      <c r="AG14" s="63"/>
      <c r="AH14" s="85"/>
      <c r="AI14" s="73"/>
      <c r="AJ14" s="73"/>
      <c r="AK14" s="74"/>
      <c r="AL14" s="75"/>
      <c r="AM14" s="76" t="str">
        <f t="shared" si="2"/>
        <v/>
      </c>
      <c r="AO14" s="77" t="str">
        <f t="array" ref="AO14">INDEX(R_Proy__ObjEsp,MATCH(E14,L_Proy,0))</f>
        <v>#N/A</v>
      </c>
      <c r="AP14" s="78"/>
      <c r="AQ14" s="78"/>
      <c r="AR14" s="79"/>
      <c r="AS14" s="78" t="str">
        <f t="array" ref="AS14">INDEX(R_ObjEsp__Prod,MATCH(H14,L_ObjEsp,0))</f>
        <v>#N/A</v>
      </c>
      <c r="AT14" s="80"/>
      <c r="AU14" s="80"/>
      <c r="AV14" s="80"/>
      <c r="AW14" s="80"/>
      <c r="AX14" s="79"/>
      <c r="AY14" s="78" t="str">
        <f t="array" ref="AY14">INDEX(R_Pro__Act,MATCH(I14,L_Prod,0))</f>
        <v>#N/A</v>
      </c>
      <c r="AZ14" s="80"/>
      <c r="BA14" s="80"/>
      <c r="BB14" s="80"/>
      <c r="BC14" s="80"/>
      <c r="BD14" s="80"/>
      <c r="BE14" s="79"/>
      <c r="BF14" s="79"/>
      <c r="BG14" s="79"/>
      <c r="BH14" s="79"/>
      <c r="BI14" s="79"/>
      <c r="BJ14" s="79"/>
      <c r="BK14" s="79"/>
      <c r="BL14" s="79"/>
      <c r="BM14" s="79"/>
    </row>
    <row r="15" ht="67.5" customHeight="1">
      <c r="A15" s="39"/>
      <c r="B15" s="62">
        <v>13.0</v>
      </c>
      <c r="C15" s="85"/>
      <c r="D15" s="64"/>
      <c r="E15" s="64"/>
      <c r="F15" s="65" t="str">
        <f>IF(ISBLANK(E15),"",VLOOKUP(E15,R_Inf_Proy,2,0))</f>
        <v/>
      </c>
      <c r="G15" s="65" t="str">
        <f>IF(ISBLANK(E15),"",VLOOKUP(E15,R_Inf_Proy,3,0))</f>
        <v/>
      </c>
      <c r="H15" s="86"/>
      <c r="I15" s="86"/>
      <c r="J15" s="86"/>
      <c r="K15" s="66"/>
      <c r="L15" s="87"/>
      <c r="M15" s="87"/>
      <c r="N15" s="87"/>
      <c r="O15" s="81"/>
      <c r="P15" s="81"/>
      <c r="Q15" s="82"/>
      <c r="R15" s="83"/>
      <c r="S15" s="83"/>
      <c r="T15" s="81"/>
      <c r="U15" s="81"/>
      <c r="V15" s="81"/>
      <c r="W15" s="81"/>
      <c r="X15" s="82"/>
      <c r="Y15" s="83"/>
      <c r="Z15" s="83"/>
      <c r="AA15" s="83"/>
      <c r="AB15" s="73"/>
      <c r="AC15" s="85"/>
      <c r="AD15" s="85"/>
      <c r="AE15" s="85"/>
      <c r="AF15" s="85"/>
      <c r="AG15" s="85"/>
      <c r="AH15" s="85"/>
      <c r="AI15" s="73"/>
      <c r="AJ15" s="73"/>
      <c r="AK15" s="74"/>
      <c r="AL15" s="75"/>
      <c r="AM15" s="76" t="str">
        <f t="shared" si="2"/>
        <v/>
      </c>
      <c r="AO15" s="77" t="str">
        <f t="array" ref="AO15">INDEX(R_Proy__ObjEsp,MATCH(E15,L_Proy,0))</f>
        <v>#N/A</v>
      </c>
      <c r="AP15" s="78"/>
      <c r="AQ15" s="78"/>
      <c r="AR15" s="79"/>
      <c r="AS15" s="78" t="str">
        <f t="array" ref="AS15">INDEX(R_ObjEsp__Prod,MATCH(H15,L_ObjEsp,0))</f>
        <v>#N/A</v>
      </c>
      <c r="AT15" s="80"/>
      <c r="AU15" s="80"/>
      <c r="AV15" s="80"/>
      <c r="AW15" s="80"/>
      <c r="AX15" s="79"/>
      <c r="AY15" s="78" t="str">
        <f t="array" ref="AY15">INDEX(R_Pro__Act,MATCH(I15,L_Prod,0))</f>
        <v>#N/A</v>
      </c>
      <c r="AZ15" s="80"/>
      <c r="BA15" s="80"/>
      <c r="BB15" s="80"/>
      <c r="BC15" s="80"/>
      <c r="BD15" s="80"/>
      <c r="BE15" s="79"/>
      <c r="BF15" s="79"/>
      <c r="BG15" s="79"/>
      <c r="BH15" s="79"/>
      <c r="BI15" s="79"/>
      <c r="BJ15" s="79"/>
      <c r="BK15" s="79"/>
      <c r="BL15" s="79"/>
      <c r="BM15" s="79"/>
    </row>
    <row r="16" ht="67.5" customHeight="1">
      <c r="A16" s="39"/>
      <c r="B16" s="62">
        <v>14.0</v>
      </c>
      <c r="C16" s="85"/>
      <c r="D16" s="64"/>
      <c r="E16" s="64"/>
      <c r="F16" s="65" t="str">
        <f>IF(ISBLANK(E16),"",VLOOKUP(E16,R_Inf_Proy,2,0))</f>
        <v/>
      </c>
      <c r="G16" s="65" t="str">
        <f>IF(ISBLANK(E16),"",VLOOKUP(E16,R_Inf_Proy,3,0))</f>
        <v/>
      </c>
      <c r="H16" s="86"/>
      <c r="I16" s="86"/>
      <c r="J16" s="86"/>
      <c r="K16" s="66"/>
      <c r="L16" s="87"/>
      <c r="M16" s="87"/>
      <c r="N16" s="87"/>
      <c r="O16" s="81"/>
      <c r="P16" s="81"/>
      <c r="Q16" s="82"/>
      <c r="R16" s="83"/>
      <c r="S16" s="83"/>
      <c r="T16" s="81"/>
      <c r="U16" s="81"/>
      <c r="V16" s="81"/>
      <c r="W16" s="81"/>
      <c r="X16" s="82"/>
      <c r="Y16" s="83"/>
      <c r="Z16" s="83"/>
      <c r="AA16" s="83"/>
      <c r="AB16" s="73"/>
      <c r="AC16" s="85"/>
      <c r="AD16" s="85"/>
      <c r="AE16" s="85"/>
      <c r="AF16" s="85"/>
      <c r="AG16" s="85"/>
      <c r="AH16" s="85"/>
      <c r="AI16" s="73"/>
      <c r="AJ16" s="73"/>
      <c r="AK16" s="74"/>
      <c r="AL16" s="75"/>
      <c r="AM16" s="76" t="str">
        <f t="shared" si="2"/>
        <v/>
      </c>
      <c r="AO16" s="77" t="str">
        <f t="array" ref="AO16">INDEX(R_Proy__ObjEsp,MATCH(E16,L_Proy,0))</f>
        <v>#N/A</v>
      </c>
      <c r="AP16" s="78"/>
      <c r="AQ16" s="78"/>
      <c r="AR16" s="79"/>
      <c r="AS16" s="78" t="str">
        <f t="array" ref="AS16">INDEX(R_ObjEsp__Prod,MATCH(H16,L_ObjEsp,0))</f>
        <v>#N/A</v>
      </c>
      <c r="AT16" s="80"/>
      <c r="AU16" s="80"/>
      <c r="AV16" s="80"/>
      <c r="AW16" s="80"/>
      <c r="AX16" s="79"/>
      <c r="AY16" s="78" t="str">
        <f t="array" ref="AY16">INDEX(R_Pro__Act,MATCH(I16,L_Prod,0))</f>
        <v>#N/A</v>
      </c>
      <c r="AZ16" s="80"/>
      <c r="BA16" s="80"/>
      <c r="BB16" s="80"/>
      <c r="BC16" s="80"/>
      <c r="BD16" s="80"/>
      <c r="BE16" s="79"/>
      <c r="BF16" s="79"/>
      <c r="BG16" s="79"/>
      <c r="BH16" s="79"/>
      <c r="BI16" s="79"/>
      <c r="BJ16" s="79"/>
      <c r="BK16" s="79"/>
      <c r="BL16" s="79"/>
      <c r="BM16" s="79"/>
    </row>
    <row r="17" ht="67.5" customHeight="1">
      <c r="A17" s="39"/>
      <c r="B17" s="62">
        <v>15.0</v>
      </c>
      <c r="C17" s="85"/>
      <c r="D17" s="64"/>
      <c r="E17" s="64"/>
      <c r="F17" s="65" t="str">
        <f>IF(ISBLANK(E17),"",VLOOKUP(E17,R_Inf_Proy,2,0))</f>
        <v/>
      </c>
      <c r="G17" s="65" t="str">
        <f>IF(ISBLANK(E17),"",VLOOKUP(E17,R_Inf_Proy,3,0))</f>
        <v/>
      </c>
      <c r="H17" s="86"/>
      <c r="I17" s="86"/>
      <c r="J17" s="86"/>
      <c r="K17" s="66"/>
      <c r="L17" s="87"/>
      <c r="M17" s="87"/>
      <c r="N17" s="87"/>
      <c r="O17" s="81"/>
      <c r="P17" s="81"/>
      <c r="Q17" s="82"/>
      <c r="R17" s="83"/>
      <c r="S17" s="83"/>
      <c r="T17" s="81"/>
      <c r="U17" s="81"/>
      <c r="V17" s="81"/>
      <c r="W17" s="81"/>
      <c r="X17" s="82"/>
      <c r="Y17" s="83"/>
      <c r="Z17" s="83"/>
      <c r="AA17" s="83"/>
      <c r="AB17" s="73"/>
      <c r="AC17" s="85"/>
      <c r="AD17" s="85"/>
      <c r="AE17" s="85"/>
      <c r="AF17" s="85"/>
      <c r="AG17" s="85"/>
      <c r="AH17" s="85"/>
      <c r="AI17" s="73"/>
      <c r="AJ17" s="73"/>
      <c r="AK17" s="74"/>
      <c r="AL17" s="75"/>
      <c r="AM17" s="76" t="str">
        <f t="shared" si="2"/>
        <v/>
      </c>
      <c r="AO17" s="77" t="str">
        <f t="array" ref="AO17">INDEX(R_Proy__ObjEsp,MATCH(E17,L_Proy,0))</f>
        <v>#N/A</v>
      </c>
      <c r="AP17" s="78"/>
      <c r="AQ17" s="78"/>
      <c r="AR17" s="79"/>
      <c r="AS17" s="78" t="str">
        <f t="array" ref="AS17">INDEX(R_ObjEsp__Prod,MATCH(H17,L_ObjEsp,0))</f>
        <v>#N/A</v>
      </c>
      <c r="AT17" s="80"/>
      <c r="AU17" s="80"/>
      <c r="AV17" s="80"/>
      <c r="AW17" s="80"/>
      <c r="AX17" s="79"/>
      <c r="AY17" s="78" t="str">
        <f t="array" ref="AY17">INDEX(R_Pro__Act,MATCH(I17,L_Prod,0))</f>
        <v>#N/A</v>
      </c>
      <c r="AZ17" s="80"/>
      <c r="BA17" s="80"/>
      <c r="BB17" s="80"/>
      <c r="BC17" s="80"/>
      <c r="BD17" s="80"/>
      <c r="BE17" s="79"/>
      <c r="BF17" s="79"/>
      <c r="BG17" s="79"/>
      <c r="BH17" s="79"/>
      <c r="BI17" s="79"/>
      <c r="BJ17" s="79"/>
      <c r="BK17" s="79"/>
      <c r="BL17" s="79"/>
      <c r="BM17" s="79"/>
    </row>
    <row r="18" ht="67.5" customHeight="1">
      <c r="A18" s="39"/>
      <c r="B18" s="62">
        <v>16.0</v>
      </c>
      <c r="C18" s="85"/>
      <c r="D18" s="64"/>
      <c r="E18" s="64"/>
      <c r="F18" s="65" t="str">
        <f>IF(ISBLANK(E18),"",VLOOKUP(E18,R_Inf_Proy,2,0))</f>
        <v/>
      </c>
      <c r="G18" s="65" t="str">
        <f>IF(ISBLANK(E18),"",VLOOKUP(E18,R_Inf_Proy,3,0))</f>
        <v/>
      </c>
      <c r="H18" s="86"/>
      <c r="I18" s="86"/>
      <c r="J18" s="86"/>
      <c r="K18" s="66"/>
      <c r="L18" s="87"/>
      <c r="M18" s="87"/>
      <c r="N18" s="87"/>
      <c r="O18" s="81"/>
      <c r="P18" s="81"/>
      <c r="Q18" s="82"/>
      <c r="R18" s="83"/>
      <c r="S18" s="83"/>
      <c r="T18" s="81"/>
      <c r="U18" s="81"/>
      <c r="V18" s="81"/>
      <c r="W18" s="81"/>
      <c r="X18" s="82"/>
      <c r="Y18" s="83"/>
      <c r="Z18" s="83"/>
      <c r="AA18" s="83"/>
      <c r="AB18" s="73"/>
      <c r="AC18" s="85"/>
      <c r="AD18" s="85"/>
      <c r="AE18" s="85"/>
      <c r="AF18" s="85"/>
      <c r="AG18" s="85"/>
      <c r="AH18" s="85"/>
      <c r="AI18" s="73"/>
      <c r="AJ18" s="73"/>
      <c r="AK18" s="74"/>
      <c r="AL18" s="75"/>
      <c r="AM18" s="76" t="str">
        <f t="shared" si="2"/>
        <v/>
      </c>
      <c r="AO18" s="77" t="str">
        <f t="array" ref="AO18">INDEX(R_Proy__ObjEsp,MATCH(E18,L_Proy,0))</f>
        <v>#N/A</v>
      </c>
      <c r="AP18" s="78"/>
      <c r="AQ18" s="78"/>
      <c r="AR18" s="79"/>
      <c r="AS18" s="78" t="str">
        <f t="array" ref="AS18">INDEX(R_ObjEsp__Prod,MATCH(H18,L_ObjEsp,0))</f>
        <v>#N/A</v>
      </c>
      <c r="AT18" s="80"/>
      <c r="AU18" s="80"/>
      <c r="AV18" s="80"/>
      <c r="AW18" s="80"/>
      <c r="AX18" s="79"/>
      <c r="AY18" s="78" t="str">
        <f t="array" ref="AY18">INDEX(R_Pro__Act,MATCH(I18,L_Prod,0))</f>
        <v>#N/A</v>
      </c>
      <c r="AZ18" s="80"/>
      <c r="BA18" s="80"/>
      <c r="BB18" s="80"/>
      <c r="BC18" s="80"/>
      <c r="BD18" s="80"/>
      <c r="BE18" s="79"/>
      <c r="BF18" s="79"/>
      <c r="BG18" s="79"/>
      <c r="BH18" s="79"/>
      <c r="BI18" s="79"/>
      <c r="BJ18" s="79"/>
      <c r="BK18" s="79"/>
      <c r="BL18" s="79"/>
      <c r="BM18" s="79"/>
    </row>
    <row r="19" ht="67.5" customHeight="1">
      <c r="A19" s="39"/>
      <c r="B19" s="62">
        <v>17.0</v>
      </c>
      <c r="C19" s="85"/>
      <c r="D19" s="64"/>
      <c r="E19" s="64"/>
      <c r="F19" s="65" t="str">
        <f>IF(ISBLANK(E19),"",VLOOKUP(E19,R_Inf_Proy,2,0))</f>
        <v/>
      </c>
      <c r="G19" s="65" t="str">
        <f>IF(ISBLANK(E19),"",VLOOKUP(E19,R_Inf_Proy,3,0))</f>
        <v/>
      </c>
      <c r="H19" s="86"/>
      <c r="I19" s="86"/>
      <c r="J19" s="86"/>
      <c r="K19" s="66"/>
      <c r="L19" s="87"/>
      <c r="M19" s="87"/>
      <c r="N19" s="87"/>
      <c r="O19" s="81"/>
      <c r="P19" s="81"/>
      <c r="Q19" s="82"/>
      <c r="R19" s="83"/>
      <c r="S19" s="83"/>
      <c r="T19" s="81"/>
      <c r="U19" s="81"/>
      <c r="V19" s="81"/>
      <c r="W19" s="81"/>
      <c r="X19" s="82"/>
      <c r="Y19" s="83"/>
      <c r="Z19" s="83"/>
      <c r="AA19" s="83"/>
      <c r="AB19" s="73"/>
      <c r="AC19" s="85"/>
      <c r="AD19" s="85"/>
      <c r="AE19" s="85"/>
      <c r="AF19" s="85"/>
      <c r="AG19" s="85"/>
      <c r="AH19" s="85"/>
      <c r="AI19" s="73"/>
      <c r="AJ19" s="73"/>
      <c r="AK19" s="74"/>
      <c r="AL19" s="75"/>
      <c r="AM19" s="76" t="str">
        <f t="shared" si="2"/>
        <v/>
      </c>
      <c r="AO19" s="77" t="str">
        <f t="array" ref="AO19">INDEX(R_Proy__ObjEsp,MATCH(E19,L_Proy,0))</f>
        <v>#N/A</v>
      </c>
      <c r="AP19" s="78"/>
      <c r="AQ19" s="78"/>
      <c r="AR19" s="79"/>
      <c r="AS19" s="78" t="str">
        <f t="array" ref="AS19">INDEX(R_ObjEsp__Prod,MATCH(H19,L_ObjEsp,0))</f>
        <v>#N/A</v>
      </c>
      <c r="AT19" s="80"/>
      <c r="AU19" s="80"/>
      <c r="AV19" s="80"/>
      <c r="AW19" s="80"/>
      <c r="AX19" s="79"/>
      <c r="AY19" s="78" t="str">
        <f t="array" ref="AY19">INDEX(R_Pro__Act,MATCH(I19,L_Prod,0))</f>
        <v>#N/A</v>
      </c>
      <c r="AZ19" s="80"/>
      <c r="BA19" s="80"/>
      <c r="BB19" s="80"/>
      <c r="BC19" s="80"/>
      <c r="BD19" s="80"/>
      <c r="BE19" s="79"/>
      <c r="BF19" s="79"/>
      <c r="BG19" s="79"/>
      <c r="BH19" s="79"/>
      <c r="BI19" s="79"/>
      <c r="BJ19" s="79"/>
      <c r="BK19" s="79"/>
      <c r="BL19" s="79"/>
      <c r="BM19" s="79"/>
    </row>
    <row r="20" ht="67.5" customHeight="1">
      <c r="A20" s="39"/>
      <c r="B20" s="62">
        <v>18.0</v>
      </c>
      <c r="C20" s="85"/>
      <c r="D20" s="64"/>
      <c r="E20" s="64"/>
      <c r="F20" s="65" t="str">
        <f>IF(ISBLANK(E20),"",VLOOKUP(E20,R_Inf_Proy,2,0))</f>
        <v/>
      </c>
      <c r="G20" s="65" t="str">
        <f>IF(ISBLANK(E20),"",VLOOKUP(E20,R_Inf_Proy,3,0))</f>
        <v/>
      </c>
      <c r="H20" s="86"/>
      <c r="I20" s="86"/>
      <c r="J20" s="86"/>
      <c r="K20" s="66"/>
      <c r="L20" s="87"/>
      <c r="M20" s="87"/>
      <c r="N20" s="87"/>
      <c r="O20" s="81"/>
      <c r="P20" s="81"/>
      <c r="Q20" s="82"/>
      <c r="R20" s="83"/>
      <c r="S20" s="83"/>
      <c r="T20" s="81"/>
      <c r="U20" s="81"/>
      <c r="V20" s="81"/>
      <c r="W20" s="81"/>
      <c r="X20" s="82"/>
      <c r="Y20" s="83"/>
      <c r="Z20" s="83"/>
      <c r="AA20" s="83"/>
      <c r="AB20" s="73"/>
      <c r="AC20" s="85"/>
      <c r="AD20" s="85"/>
      <c r="AE20" s="85"/>
      <c r="AF20" s="85"/>
      <c r="AG20" s="85"/>
      <c r="AH20" s="85"/>
      <c r="AI20" s="73"/>
      <c r="AJ20" s="73"/>
      <c r="AK20" s="74"/>
      <c r="AL20" s="75"/>
      <c r="AM20" s="76" t="str">
        <f t="shared" si="2"/>
        <v/>
      </c>
      <c r="AO20" s="77" t="str">
        <f t="array" ref="AO20">INDEX(R_Proy__ObjEsp,MATCH(E20,L_Proy,0))</f>
        <v>#N/A</v>
      </c>
      <c r="AP20" s="78"/>
      <c r="AQ20" s="78"/>
      <c r="AR20" s="79"/>
      <c r="AS20" s="78" t="str">
        <f t="array" ref="AS20">INDEX(R_ObjEsp__Prod,MATCH(H20,L_ObjEsp,0))</f>
        <v>#N/A</v>
      </c>
      <c r="AT20" s="80"/>
      <c r="AU20" s="80"/>
      <c r="AV20" s="80"/>
      <c r="AW20" s="80"/>
      <c r="AX20" s="79"/>
      <c r="AY20" s="78" t="str">
        <f t="array" ref="AY20">INDEX(R_Pro__Act,MATCH(I20,L_Prod,0))</f>
        <v>#N/A</v>
      </c>
      <c r="AZ20" s="80"/>
      <c r="BA20" s="80"/>
      <c r="BB20" s="80"/>
      <c r="BC20" s="80"/>
      <c r="BD20" s="80"/>
      <c r="BE20" s="79"/>
      <c r="BF20" s="79"/>
      <c r="BG20" s="79"/>
      <c r="BH20" s="79"/>
      <c r="BI20" s="79"/>
      <c r="BJ20" s="79"/>
      <c r="BK20" s="79"/>
      <c r="BL20" s="79"/>
      <c r="BM20" s="79"/>
    </row>
    <row r="21" ht="67.5" customHeight="1">
      <c r="A21" s="39"/>
      <c r="B21" s="62">
        <v>19.0</v>
      </c>
      <c r="C21" s="85"/>
      <c r="D21" s="64"/>
      <c r="E21" s="64"/>
      <c r="F21" s="65" t="str">
        <f>IF(ISBLANK(E21),"",VLOOKUP(E21,R_Inf_Proy,2,0))</f>
        <v/>
      </c>
      <c r="G21" s="65" t="str">
        <f>IF(ISBLANK(E21),"",VLOOKUP(E21,R_Inf_Proy,3,0))</f>
        <v/>
      </c>
      <c r="H21" s="86"/>
      <c r="I21" s="86"/>
      <c r="J21" s="86"/>
      <c r="K21" s="66"/>
      <c r="L21" s="87"/>
      <c r="M21" s="87"/>
      <c r="N21" s="87"/>
      <c r="O21" s="81"/>
      <c r="P21" s="81"/>
      <c r="Q21" s="82"/>
      <c r="R21" s="83"/>
      <c r="S21" s="83"/>
      <c r="T21" s="81"/>
      <c r="U21" s="81"/>
      <c r="V21" s="81"/>
      <c r="W21" s="81"/>
      <c r="X21" s="82"/>
      <c r="Y21" s="83"/>
      <c r="Z21" s="83"/>
      <c r="AA21" s="83"/>
      <c r="AB21" s="73"/>
      <c r="AC21" s="85"/>
      <c r="AD21" s="85"/>
      <c r="AE21" s="85"/>
      <c r="AF21" s="85"/>
      <c r="AG21" s="85"/>
      <c r="AH21" s="85"/>
      <c r="AI21" s="73"/>
      <c r="AJ21" s="73"/>
      <c r="AK21" s="74"/>
      <c r="AL21" s="75"/>
      <c r="AM21" s="76" t="str">
        <f t="shared" si="2"/>
        <v/>
      </c>
      <c r="AO21" s="77" t="str">
        <f t="array" ref="AO21">INDEX(R_Proy__ObjEsp,MATCH(E21,L_Proy,0))</f>
        <v>#N/A</v>
      </c>
      <c r="AP21" s="78"/>
      <c r="AQ21" s="78"/>
      <c r="AR21" s="79"/>
      <c r="AS21" s="78" t="str">
        <f t="array" ref="AS21">INDEX(R_ObjEsp__Prod,MATCH(H21,L_ObjEsp,0))</f>
        <v>#N/A</v>
      </c>
      <c r="AT21" s="80"/>
      <c r="AU21" s="80"/>
      <c r="AV21" s="80"/>
      <c r="AW21" s="80"/>
      <c r="AX21" s="79"/>
      <c r="AY21" s="78" t="str">
        <f t="array" ref="AY21">INDEX(R_Pro__Act,MATCH(I21,L_Prod,0))</f>
        <v>#N/A</v>
      </c>
      <c r="AZ21" s="80"/>
      <c r="BA21" s="80"/>
      <c r="BB21" s="80"/>
      <c r="BC21" s="80"/>
      <c r="BD21" s="80"/>
      <c r="BE21" s="79"/>
      <c r="BF21" s="79"/>
      <c r="BG21" s="79"/>
      <c r="BH21" s="79"/>
      <c r="BI21" s="79"/>
      <c r="BJ21" s="79"/>
      <c r="BK21" s="79"/>
      <c r="BL21" s="79"/>
      <c r="BM21" s="79"/>
    </row>
    <row r="22" ht="67.5" customHeight="1">
      <c r="A22" s="39"/>
      <c r="B22" s="62">
        <v>20.0</v>
      </c>
      <c r="C22" s="85"/>
      <c r="D22" s="64"/>
      <c r="E22" s="64"/>
      <c r="F22" s="65" t="str">
        <f>IF(ISBLANK(E22),"",VLOOKUP(E22,R_Inf_Proy,2,0))</f>
        <v/>
      </c>
      <c r="G22" s="65" t="str">
        <f>IF(ISBLANK(E22),"",VLOOKUP(E22,R_Inf_Proy,3,0))</f>
        <v/>
      </c>
      <c r="H22" s="86"/>
      <c r="I22" s="86"/>
      <c r="J22" s="86"/>
      <c r="K22" s="66"/>
      <c r="L22" s="87"/>
      <c r="M22" s="87"/>
      <c r="N22" s="87"/>
      <c r="O22" s="81"/>
      <c r="P22" s="81"/>
      <c r="Q22" s="82"/>
      <c r="R22" s="83"/>
      <c r="S22" s="83"/>
      <c r="T22" s="81"/>
      <c r="U22" s="81"/>
      <c r="V22" s="81"/>
      <c r="W22" s="81"/>
      <c r="X22" s="82"/>
      <c r="Y22" s="83"/>
      <c r="Z22" s="83"/>
      <c r="AA22" s="83"/>
      <c r="AB22" s="73"/>
      <c r="AC22" s="85"/>
      <c r="AD22" s="85"/>
      <c r="AE22" s="85"/>
      <c r="AF22" s="85"/>
      <c r="AG22" s="85"/>
      <c r="AH22" s="85"/>
      <c r="AI22" s="73"/>
      <c r="AJ22" s="73"/>
      <c r="AK22" s="74"/>
      <c r="AL22" s="75"/>
      <c r="AM22" s="76" t="str">
        <f t="shared" si="2"/>
        <v/>
      </c>
      <c r="AO22" s="77" t="str">
        <f t="array" ref="AO22">INDEX(R_Proy__ObjEsp,MATCH(E22,L_Proy,0))</f>
        <v>#N/A</v>
      </c>
      <c r="AP22" s="78"/>
      <c r="AQ22" s="78"/>
      <c r="AR22" s="79"/>
      <c r="AS22" s="78" t="str">
        <f t="array" ref="AS22">INDEX(R_ObjEsp__Prod,MATCH(H22,L_ObjEsp,0))</f>
        <v>#N/A</v>
      </c>
      <c r="AT22" s="80"/>
      <c r="AU22" s="80"/>
      <c r="AV22" s="80"/>
      <c r="AW22" s="80"/>
      <c r="AX22" s="79"/>
      <c r="AY22" s="78" t="str">
        <f t="array" ref="AY22">INDEX(R_Pro__Act,MATCH(I22,L_Prod,0))</f>
        <v>#N/A</v>
      </c>
      <c r="AZ22" s="80"/>
      <c r="BA22" s="80"/>
      <c r="BB22" s="80"/>
      <c r="BC22" s="80"/>
      <c r="BD22" s="80"/>
      <c r="BE22" s="79"/>
      <c r="BF22" s="79"/>
      <c r="BG22" s="79"/>
      <c r="BH22" s="79"/>
      <c r="BI22" s="79"/>
      <c r="BJ22" s="79"/>
      <c r="BK22" s="79"/>
      <c r="BL22" s="79"/>
      <c r="BM22" s="79"/>
    </row>
    <row r="23" ht="67.5" customHeight="1">
      <c r="A23" s="39"/>
      <c r="B23" s="62">
        <v>21.0</v>
      </c>
      <c r="C23" s="85"/>
      <c r="D23" s="64"/>
      <c r="E23" s="64"/>
      <c r="F23" s="65" t="str">
        <f>IF(ISBLANK(E23),"",VLOOKUP(E23,R_Inf_Proy,2,0))</f>
        <v/>
      </c>
      <c r="G23" s="65" t="str">
        <f>IF(ISBLANK(E23),"",VLOOKUP(E23,R_Inf_Proy,3,0))</f>
        <v/>
      </c>
      <c r="H23" s="86"/>
      <c r="I23" s="86"/>
      <c r="J23" s="86"/>
      <c r="K23" s="66"/>
      <c r="L23" s="87"/>
      <c r="M23" s="87"/>
      <c r="N23" s="87"/>
      <c r="O23" s="81"/>
      <c r="P23" s="81"/>
      <c r="Q23" s="82"/>
      <c r="R23" s="83"/>
      <c r="S23" s="83"/>
      <c r="T23" s="81"/>
      <c r="U23" s="81"/>
      <c r="V23" s="81"/>
      <c r="W23" s="81"/>
      <c r="X23" s="82"/>
      <c r="Y23" s="83"/>
      <c r="Z23" s="83"/>
      <c r="AA23" s="83"/>
      <c r="AB23" s="73"/>
      <c r="AC23" s="85"/>
      <c r="AD23" s="85"/>
      <c r="AE23" s="85"/>
      <c r="AF23" s="85"/>
      <c r="AG23" s="85"/>
      <c r="AH23" s="85"/>
      <c r="AI23" s="73"/>
      <c r="AJ23" s="73"/>
      <c r="AK23" s="74"/>
      <c r="AL23" s="75"/>
      <c r="AM23" s="76" t="str">
        <f t="shared" si="2"/>
        <v/>
      </c>
      <c r="AO23" s="77" t="str">
        <f t="array" ref="AO23">INDEX(R_Proy__ObjEsp,MATCH(E23,L_Proy,0))</f>
        <v>#N/A</v>
      </c>
      <c r="AP23" s="78"/>
      <c r="AQ23" s="78"/>
      <c r="AR23" s="79"/>
      <c r="AS23" s="78" t="str">
        <f t="array" ref="AS23">INDEX(R_ObjEsp__Prod,MATCH(H23,L_ObjEsp,0))</f>
        <v>#N/A</v>
      </c>
      <c r="AT23" s="80"/>
      <c r="AU23" s="80"/>
      <c r="AV23" s="80"/>
      <c r="AW23" s="80"/>
      <c r="AX23" s="79"/>
      <c r="AY23" s="78" t="str">
        <f t="array" ref="AY23">INDEX(R_Pro__Act,MATCH(I23,L_Prod,0))</f>
        <v>#N/A</v>
      </c>
      <c r="AZ23" s="80"/>
      <c r="BA23" s="80"/>
      <c r="BB23" s="80"/>
      <c r="BC23" s="80"/>
      <c r="BD23" s="80"/>
      <c r="BE23" s="79"/>
      <c r="BF23" s="79"/>
      <c r="BG23" s="79"/>
      <c r="BH23" s="79"/>
      <c r="BI23" s="79"/>
      <c r="BJ23" s="79"/>
      <c r="BK23" s="79"/>
      <c r="BL23" s="79"/>
      <c r="BM23" s="79"/>
    </row>
    <row r="24" ht="67.5" customHeight="1">
      <c r="A24" s="39"/>
      <c r="B24" s="62">
        <v>22.0</v>
      </c>
      <c r="C24" s="85"/>
      <c r="D24" s="64"/>
      <c r="E24" s="64"/>
      <c r="F24" s="65" t="str">
        <f>IF(ISBLANK(E24),"",VLOOKUP(E24,R_Inf_Proy,2,0))</f>
        <v/>
      </c>
      <c r="G24" s="65" t="str">
        <f>IF(ISBLANK(E24),"",VLOOKUP(E24,R_Inf_Proy,3,0))</f>
        <v/>
      </c>
      <c r="H24" s="86"/>
      <c r="I24" s="86"/>
      <c r="J24" s="86"/>
      <c r="K24" s="66"/>
      <c r="L24" s="87"/>
      <c r="M24" s="87"/>
      <c r="N24" s="87"/>
      <c r="O24" s="81"/>
      <c r="P24" s="81"/>
      <c r="Q24" s="82"/>
      <c r="R24" s="83"/>
      <c r="S24" s="83"/>
      <c r="T24" s="81"/>
      <c r="U24" s="81"/>
      <c r="V24" s="81"/>
      <c r="W24" s="81"/>
      <c r="X24" s="82"/>
      <c r="Y24" s="83"/>
      <c r="Z24" s="83"/>
      <c r="AA24" s="83"/>
      <c r="AB24" s="73"/>
      <c r="AC24" s="85"/>
      <c r="AD24" s="85"/>
      <c r="AE24" s="85"/>
      <c r="AF24" s="85"/>
      <c r="AG24" s="85"/>
      <c r="AH24" s="85"/>
      <c r="AI24" s="73"/>
      <c r="AJ24" s="73"/>
      <c r="AK24" s="74"/>
      <c r="AL24" s="75"/>
      <c r="AM24" s="76" t="str">
        <f t="shared" si="2"/>
        <v/>
      </c>
      <c r="AO24" s="77" t="str">
        <f t="array" ref="AO24">INDEX(R_Proy__ObjEsp,MATCH(E24,L_Proy,0))</f>
        <v>#N/A</v>
      </c>
      <c r="AP24" s="78"/>
      <c r="AQ24" s="78"/>
      <c r="AR24" s="79"/>
      <c r="AS24" s="78" t="str">
        <f t="array" ref="AS24">INDEX(R_ObjEsp__Prod,MATCH(H24,L_ObjEsp,0))</f>
        <v>#N/A</v>
      </c>
      <c r="AT24" s="80"/>
      <c r="AU24" s="80"/>
      <c r="AV24" s="80"/>
      <c r="AW24" s="80"/>
      <c r="AX24" s="79"/>
      <c r="AY24" s="78" t="str">
        <f t="array" ref="AY24">INDEX(R_Pro__Act,MATCH(I24,L_Prod,0))</f>
        <v>#N/A</v>
      </c>
      <c r="AZ24" s="80"/>
      <c r="BA24" s="80"/>
      <c r="BB24" s="80"/>
      <c r="BC24" s="80"/>
      <c r="BD24" s="80"/>
      <c r="BE24" s="79"/>
      <c r="BF24" s="79"/>
      <c r="BG24" s="79"/>
      <c r="BH24" s="79"/>
      <c r="BI24" s="79"/>
      <c r="BJ24" s="79"/>
      <c r="BK24" s="79"/>
      <c r="BL24" s="79"/>
      <c r="BM24" s="79"/>
    </row>
    <row r="25" ht="67.5" customHeight="1">
      <c r="A25" s="39"/>
      <c r="B25" s="62">
        <v>23.0</v>
      </c>
      <c r="C25" s="85"/>
      <c r="D25" s="64"/>
      <c r="E25" s="64"/>
      <c r="F25" s="65" t="str">
        <f>IF(ISBLANK(E25),"",VLOOKUP(E25,R_Inf_Proy,2,0))</f>
        <v/>
      </c>
      <c r="G25" s="65" t="str">
        <f>IF(ISBLANK(E25),"",VLOOKUP(E25,R_Inf_Proy,3,0))</f>
        <v/>
      </c>
      <c r="H25" s="86"/>
      <c r="I25" s="86"/>
      <c r="J25" s="86"/>
      <c r="K25" s="66"/>
      <c r="L25" s="87"/>
      <c r="M25" s="87"/>
      <c r="N25" s="87"/>
      <c r="O25" s="81"/>
      <c r="P25" s="81"/>
      <c r="Q25" s="82"/>
      <c r="R25" s="83"/>
      <c r="S25" s="83"/>
      <c r="T25" s="81"/>
      <c r="U25" s="81"/>
      <c r="V25" s="81"/>
      <c r="W25" s="81"/>
      <c r="X25" s="82"/>
      <c r="Y25" s="83"/>
      <c r="Z25" s="83"/>
      <c r="AA25" s="83"/>
      <c r="AB25" s="73"/>
      <c r="AC25" s="85"/>
      <c r="AD25" s="85"/>
      <c r="AE25" s="85"/>
      <c r="AF25" s="85"/>
      <c r="AG25" s="85"/>
      <c r="AH25" s="85"/>
      <c r="AI25" s="73"/>
      <c r="AJ25" s="73"/>
      <c r="AK25" s="74"/>
      <c r="AL25" s="75"/>
      <c r="AM25" s="76" t="str">
        <f t="shared" si="2"/>
        <v/>
      </c>
      <c r="AO25" s="77" t="str">
        <f t="array" ref="AO25">INDEX(R_Proy__ObjEsp,MATCH(E25,L_Proy,0))</f>
        <v>#N/A</v>
      </c>
      <c r="AP25" s="78"/>
      <c r="AQ25" s="78"/>
      <c r="AR25" s="79"/>
      <c r="AS25" s="78" t="str">
        <f t="array" ref="AS25">INDEX(R_ObjEsp__Prod,MATCH(H25,L_ObjEsp,0))</f>
        <v>#N/A</v>
      </c>
      <c r="AT25" s="80"/>
      <c r="AU25" s="80"/>
      <c r="AV25" s="80"/>
      <c r="AW25" s="80"/>
      <c r="AX25" s="79"/>
      <c r="AY25" s="78" t="str">
        <f t="array" ref="AY25">INDEX(R_Pro__Act,MATCH(I25,L_Prod,0))</f>
        <v>#N/A</v>
      </c>
      <c r="AZ25" s="80"/>
      <c r="BA25" s="80"/>
      <c r="BB25" s="80"/>
      <c r="BC25" s="80"/>
      <c r="BD25" s="80"/>
      <c r="BE25" s="79"/>
      <c r="BF25" s="79"/>
      <c r="BG25" s="79"/>
      <c r="BH25" s="79"/>
      <c r="BI25" s="79"/>
      <c r="BJ25" s="79"/>
      <c r="BK25" s="79"/>
      <c r="BL25" s="79"/>
      <c r="BM25" s="79"/>
    </row>
    <row r="26" ht="67.5" customHeight="1">
      <c r="A26" s="39"/>
      <c r="B26" s="62">
        <v>24.0</v>
      </c>
      <c r="C26" s="85"/>
      <c r="D26" s="64"/>
      <c r="E26" s="64"/>
      <c r="F26" s="65" t="str">
        <f>IF(ISBLANK(E26),"",VLOOKUP(E26,R_Inf_Proy,2,0))</f>
        <v/>
      </c>
      <c r="G26" s="65" t="str">
        <f>IF(ISBLANK(E26),"",VLOOKUP(E26,R_Inf_Proy,3,0))</f>
        <v/>
      </c>
      <c r="H26" s="86"/>
      <c r="I26" s="86"/>
      <c r="J26" s="86"/>
      <c r="K26" s="66"/>
      <c r="L26" s="87"/>
      <c r="M26" s="87"/>
      <c r="N26" s="87"/>
      <c r="O26" s="81"/>
      <c r="P26" s="81"/>
      <c r="Q26" s="82"/>
      <c r="R26" s="83"/>
      <c r="S26" s="83"/>
      <c r="T26" s="81"/>
      <c r="U26" s="81"/>
      <c r="V26" s="81"/>
      <c r="W26" s="81"/>
      <c r="X26" s="82"/>
      <c r="Y26" s="83"/>
      <c r="Z26" s="83"/>
      <c r="AA26" s="83"/>
      <c r="AB26" s="73"/>
      <c r="AC26" s="85"/>
      <c r="AD26" s="85"/>
      <c r="AE26" s="85"/>
      <c r="AF26" s="85"/>
      <c r="AG26" s="85"/>
      <c r="AH26" s="85"/>
      <c r="AI26" s="73"/>
      <c r="AJ26" s="73"/>
      <c r="AK26" s="74"/>
      <c r="AL26" s="75"/>
      <c r="AM26" s="76" t="str">
        <f t="shared" si="2"/>
        <v/>
      </c>
      <c r="AO26" s="77" t="str">
        <f t="array" ref="AO26">INDEX(R_Proy__ObjEsp,MATCH(E26,L_Proy,0))</f>
        <v>#N/A</v>
      </c>
      <c r="AP26" s="78"/>
      <c r="AQ26" s="78"/>
      <c r="AR26" s="79"/>
      <c r="AS26" s="78" t="str">
        <f t="array" ref="AS26">INDEX(R_ObjEsp__Prod,MATCH(H26,L_ObjEsp,0))</f>
        <v>#N/A</v>
      </c>
      <c r="AT26" s="80"/>
      <c r="AU26" s="80"/>
      <c r="AV26" s="80"/>
      <c r="AW26" s="80"/>
      <c r="AX26" s="79"/>
      <c r="AY26" s="78" t="str">
        <f t="array" ref="AY26">INDEX(R_Pro__Act,MATCH(I26,L_Prod,0))</f>
        <v>#N/A</v>
      </c>
      <c r="AZ26" s="80"/>
      <c r="BA26" s="80"/>
      <c r="BB26" s="80"/>
      <c r="BC26" s="80"/>
      <c r="BD26" s="80"/>
      <c r="BE26" s="79"/>
      <c r="BF26" s="79"/>
      <c r="BG26" s="79"/>
      <c r="BH26" s="79"/>
      <c r="BI26" s="79"/>
      <c r="BJ26" s="79"/>
      <c r="BK26" s="79"/>
      <c r="BL26" s="79"/>
      <c r="BM26" s="79"/>
    </row>
    <row r="27" ht="67.5" customHeight="1">
      <c r="A27" s="39"/>
      <c r="B27" s="62">
        <v>25.0</v>
      </c>
      <c r="C27" s="85"/>
      <c r="D27" s="64"/>
      <c r="E27" s="64"/>
      <c r="F27" s="65" t="str">
        <f>IF(ISBLANK(E27),"",VLOOKUP(E27,R_Inf_Proy,2,0))</f>
        <v/>
      </c>
      <c r="G27" s="65" t="str">
        <f>IF(ISBLANK(E27),"",VLOOKUP(E27,R_Inf_Proy,3,0))</f>
        <v/>
      </c>
      <c r="H27" s="86"/>
      <c r="I27" s="86"/>
      <c r="J27" s="86"/>
      <c r="K27" s="66"/>
      <c r="L27" s="87"/>
      <c r="M27" s="87"/>
      <c r="N27" s="87"/>
      <c r="O27" s="81"/>
      <c r="P27" s="81"/>
      <c r="Q27" s="82"/>
      <c r="R27" s="83"/>
      <c r="S27" s="83"/>
      <c r="T27" s="81"/>
      <c r="U27" s="81"/>
      <c r="V27" s="81"/>
      <c r="W27" s="81"/>
      <c r="X27" s="82"/>
      <c r="Y27" s="83"/>
      <c r="Z27" s="83"/>
      <c r="AA27" s="83"/>
      <c r="AB27" s="73"/>
      <c r="AC27" s="85"/>
      <c r="AD27" s="85"/>
      <c r="AE27" s="85"/>
      <c r="AF27" s="85"/>
      <c r="AG27" s="85"/>
      <c r="AH27" s="85"/>
      <c r="AI27" s="73"/>
      <c r="AJ27" s="73"/>
      <c r="AK27" s="74"/>
      <c r="AL27" s="75"/>
      <c r="AM27" s="76" t="str">
        <f t="shared" si="2"/>
        <v/>
      </c>
      <c r="AO27" s="77" t="str">
        <f t="array" ref="AO27">INDEX(R_Proy__ObjEsp,MATCH(E27,L_Proy,0))</f>
        <v>#N/A</v>
      </c>
      <c r="AP27" s="78"/>
      <c r="AQ27" s="78"/>
      <c r="AR27" s="79"/>
      <c r="AS27" s="78" t="str">
        <f t="array" ref="AS27">INDEX(R_ObjEsp__Prod,MATCH(H27,L_ObjEsp,0))</f>
        <v>#N/A</v>
      </c>
      <c r="AT27" s="80"/>
      <c r="AU27" s="80"/>
      <c r="AV27" s="80"/>
      <c r="AW27" s="80"/>
      <c r="AX27" s="79"/>
      <c r="AY27" s="78" t="str">
        <f t="array" ref="AY27">INDEX(R_Pro__Act,MATCH(I27,L_Prod,0))</f>
        <v>#N/A</v>
      </c>
      <c r="AZ27" s="80"/>
      <c r="BA27" s="80"/>
      <c r="BB27" s="80"/>
      <c r="BC27" s="80"/>
      <c r="BD27" s="80"/>
      <c r="BE27" s="79"/>
      <c r="BF27" s="79"/>
      <c r="BG27" s="79"/>
      <c r="BH27" s="79"/>
      <c r="BI27" s="79"/>
      <c r="BJ27" s="79"/>
      <c r="BK27" s="79"/>
      <c r="BL27" s="79"/>
      <c r="BM27" s="79"/>
    </row>
    <row r="28" ht="67.5" customHeight="1">
      <c r="A28" s="39"/>
      <c r="B28" s="62">
        <v>26.0</v>
      </c>
      <c r="C28" s="85"/>
      <c r="D28" s="64"/>
      <c r="E28" s="64"/>
      <c r="F28" s="65" t="str">
        <f>IF(ISBLANK(E28),"",VLOOKUP(E28,R_Inf_Proy,2,0))</f>
        <v/>
      </c>
      <c r="G28" s="65" t="str">
        <f>IF(ISBLANK(E28),"",VLOOKUP(E28,R_Inf_Proy,3,0))</f>
        <v/>
      </c>
      <c r="H28" s="86"/>
      <c r="I28" s="86"/>
      <c r="J28" s="86"/>
      <c r="K28" s="66"/>
      <c r="L28" s="87"/>
      <c r="M28" s="87"/>
      <c r="N28" s="87"/>
      <c r="O28" s="81"/>
      <c r="P28" s="81"/>
      <c r="Q28" s="82"/>
      <c r="R28" s="83"/>
      <c r="S28" s="83"/>
      <c r="T28" s="81"/>
      <c r="U28" s="81"/>
      <c r="V28" s="81"/>
      <c r="W28" s="81"/>
      <c r="X28" s="82"/>
      <c r="Y28" s="83"/>
      <c r="Z28" s="83"/>
      <c r="AA28" s="83"/>
      <c r="AB28" s="73"/>
      <c r="AC28" s="85"/>
      <c r="AD28" s="85"/>
      <c r="AE28" s="85"/>
      <c r="AF28" s="85"/>
      <c r="AG28" s="85"/>
      <c r="AH28" s="85"/>
      <c r="AI28" s="73"/>
      <c r="AJ28" s="73"/>
      <c r="AK28" s="74"/>
      <c r="AL28" s="75"/>
      <c r="AM28" s="76" t="str">
        <f t="shared" si="2"/>
        <v/>
      </c>
      <c r="AO28" s="77" t="str">
        <f t="array" ref="AO28">INDEX(R_Proy__ObjEsp,MATCH(E28,L_Proy,0))</f>
        <v>#N/A</v>
      </c>
      <c r="AP28" s="78"/>
      <c r="AQ28" s="78"/>
      <c r="AR28" s="79"/>
      <c r="AS28" s="78" t="str">
        <f t="array" ref="AS28">INDEX(R_ObjEsp__Prod,MATCH(H28,L_ObjEsp,0))</f>
        <v>#N/A</v>
      </c>
      <c r="AT28" s="80"/>
      <c r="AU28" s="80"/>
      <c r="AV28" s="80"/>
      <c r="AW28" s="80"/>
      <c r="AX28" s="79"/>
      <c r="AY28" s="78" t="str">
        <f t="array" ref="AY28">INDEX(R_Pro__Act,MATCH(I28,L_Prod,0))</f>
        <v>#N/A</v>
      </c>
      <c r="AZ28" s="80"/>
      <c r="BA28" s="80"/>
      <c r="BB28" s="80"/>
      <c r="BC28" s="80"/>
      <c r="BD28" s="80"/>
      <c r="BE28" s="79"/>
      <c r="BF28" s="79"/>
      <c r="BG28" s="79"/>
      <c r="BH28" s="79"/>
      <c r="BI28" s="79"/>
      <c r="BJ28" s="79"/>
      <c r="BK28" s="79"/>
      <c r="BL28" s="79"/>
      <c r="BM28" s="79"/>
    </row>
    <row r="29" ht="67.5" customHeight="1">
      <c r="A29" s="39"/>
      <c r="B29" s="62">
        <v>27.0</v>
      </c>
      <c r="C29" s="85"/>
      <c r="D29" s="64"/>
      <c r="E29" s="64"/>
      <c r="F29" s="65" t="str">
        <f>IF(ISBLANK(E29),"",VLOOKUP(E29,R_Inf_Proy,2,0))</f>
        <v/>
      </c>
      <c r="G29" s="65" t="str">
        <f>IF(ISBLANK(E29),"",VLOOKUP(E29,R_Inf_Proy,3,0))</f>
        <v/>
      </c>
      <c r="H29" s="86"/>
      <c r="I29" s="86"/>
      <c r="J29" s="86"/>
      <c r="K29" s="66"/>
      <c r="L29" s="87"/>
      <c r="M29" s="87"/>
      <c r="N29" s="87"/>
      <c r="O29" s="81"/>
      <c r="P29" s="81"/>
      <c r="Q29" s="82"/>
      <c r="R29" s="83"/>
      <c r="S29" s="83"/>
      <c r="T29" s="81"/>
      <c r="U29" s="81"/>
      <c r="V29" s="81"/>
      <c r="W29" s="81"/>
      <c r="X29" s="82"/>
      <c r="Y29" s="83"/>
      <c r="Z29" s="83"/>
      <c r="AA29" s="83"/>
      <c r="AB29" s="73"/>
      <c r="AC29" s="85"/>
      <c r="AD29" s="85"/>
      <c r="AE29" s="85"/>
      <c r="AF29" s="85"/>
      <c r="AG29" s="85"/>
      <c r="AH29" s="85"/>
      <c r="AI29" s="73"/>
      <c r="AJ29" s="73"/>
      <c r="AK29" s="74"/>
      <c r="AL29" s="75"/>
      <c r="AM29" s="76" t="str">
        <f t="shared" si="2"/>
        <v/>
      </c>
      <c r="AO29" s="77" t="str">
        <f t="array" ref="AO29">INDEX(R_Proy__ObjEsp,MATCH(E29,L_Proy,0))</f>
        <v>#N/A</v>
      </c>
      <c r="AP29" s="78"/>
      <c r="AQ29" s="78"/>
      <c r="AR29" s="79"/>
      <c r="AS29" s="78" t="str">
        <f t="array" ref="AS29">INDEX(R_ObjEsp__Prod,MATCH(H29,L_ObjEsp,0))</f>
        <v>#N/A</v>
      </c>
      <c r="AT29" s="80"/>
      <c r="AU29" s="80"/>
      <c r="AV29" s="80"/>
      <c r="AW29" s="80"/>
      <c r="AX29" s="79"/>
      <c r="AY29" s="78" t="str">
        <f t="array" ref="AY29">INDEX(R_Pro__Act,MATCH(I29,L_Prod,0))</f>
        <v>#N/A</v>
      </c>
      <c r="AZ29" s="80"/>
      <c r="BA29" s="80"/>
      <c r="BB29" s="80"/>
      <c r="BC29" s="80"/>
      <c r="BD29" s="80"/>
      <c r="BE29" s="79"/>
      <c r="BF29" s="79"/>
      <c r="BG29" s="79"/>
      <c r="BH29" s="79"/>
      <c r="BI29" s="79"/>
      <c r="BJ29" s="79"/>
      <c r="BK29" s="79"/>
      <c r="BL29" s="79"/>
      <c r="BM29" s="79"/>
    </row>
    <row r="30" ht="67.5" customHeight="1">
      <c r="A30" s="39"/>
      <c r="B30" s="62">
        <v>28.0</v>
      </c>
      <c r="C30" s="85"/>
      <c r="D30" s="64"/>
      <c r="E30" s="64"/>
      <c r="F30" s="65" t="str">
        <f>IF(ISBLANK(E30),"",VLOOKUP(E30,R_Inf_Proy,2,0))</f>
        <v/>
      </c>
      <c r="G30" s="65" t="str">
        <f>IF(ISBLANK(E30),"",VLOOKUP(E30,R_Inf_Proy,3,0))</f>
        <v/>
      </c>
      <c r="H30" s="86"/>
      <c r="I30" s="86"/>
      <c r="J30" s="86"/>
      <c r="K30" s="66"/>
      <c r="L30" s="87"/>
      <c r="M30" s="87"/>
      <c r="N30" s="87"/>
      <c r="O30" s="81"/>
      <c r="P30" s="81"/>
      <c r="Q30" s="82"/>
      <c r="R30" s="83"/>
      <c r="S30" s="83"/>
      <c r="T30" s="81"/>
      <c r="U30" s="81"/>
      <c r="V30" s="81"/>
      <c r="W30" s="81"/>
      <c r="X30" s="82"/>
      <c r="Y30" s="83"/>
      <c r="Z30" s="83"/>
      <c r="AA30" s="83"/>
      <c r="AB30" s="73"/>
      <c r="AC30" s="85"/>
      <c r="AD30" s="85"/>
      <c r="AE30" s="85"/>
      <c r="AF30" s="85"/>
      <c r="AG30" s="85"/>
      <c r="AH30" s="85"/>
      <c r="AI30" s="73"/>
      <c r="AJ30" s="73"/>
      <c r="AK30" s="74"/>
      <c r="AL30" s="75"/>
      <c r="AM30" s="76" t="str">
        <f t="shared" si="2"/>
        <v/>
      </c>
      <c r="AO30" s="77" t="str">
        <f t="array" ref="AO30">INDEX(R_Proy__ObjEsp,MATCH(E30,L_Proy,0))</f>
        <v>#N/A</v>
      </c>
      <c r="AP30" s="78"/>
      <c r="AQ30" s="78"/>
      <c r="AR30" s="79"/>
      <c r="AS30" s="78" t="str">
        <f t="array" ref="AS30">INDEX(R_ObjEsp__Prod,MATCH(H30,L_ObjEsp,0))</f>
        <v>#N/A</v>
      </c>
      <c r="AT30" s="80"/>
      <c r="AU30" s="80"/>
      <c r="AV30" s="80"/>
      <c r="AW30" s="80"/>
      <c r="AX30" s="79"/>
      <c r="AY30" s="78" t="str">
        <f t="array" ref="AY30">INDEX(R_Pro__Act,MATCH(I30,L_Prod,0))</f>
        <v>#N/A</v>
      </c>
      <c r="AZ30" s="80"/>
      <c r="BA30" s="80"/>
      <c r="BB30" s="80"/>
      <c r="BC30" s="80"/>
      <c r="BD30" s="80"/>
      <c r="BE30" s="79"/>
      <c r="BF30" s="79"/>
      <c r="BG30" s="79"/>
      <c r="BH30" s="79"/>
      <c r="BI30" s="79"/>
      <c r="BJ30" s="79"/>
      <c r="BK30" s="79"/>
      <c r="BL30" s="79"/>
      <c r="BM30" s="79"/>
    </row>
    <row r="31" ht="67.5" customHeight="1">
      <c r="A31" s="39"/>
      <c r="B31" s="62">
        <v>29.0</v>
      </c>
      <c r="C31" s="85"/>
      <c r="D31" s="64"/>
      <c r="E31" s="64"/>
      <c r="F31" s="65" t="str">
        <f>IF(ISBLANK(E31),"",VLOOKUP(E31,R_Inf_Proy,2,0))</f>
        <v/>
      </c>
      <c r="G31" s="65" t="str">
        <f>IF(ISBLANK(E31),"",VLOOKUP(E31,R_Inf_Proy,3,0))</f>
        <v/>
      </c>
      <c r="H31" s="86"/>
      <c r="I31" s="86"/>
      <c r="J31" s="86"/>
      <c r="K31" s="66"/>
      <c r="L31" s="87"/>
      <c r="M31" s="87"/>
      <c r="N31" s="87"/>
      <c r="O31" s="81"/>
      <c r="P31" s="81"/>
      <c r="Q31" s="82"/>
      <c r="R31" s="83"/>
      <c r="S31" s="83"/>
      <c r="T31" s="81"/>
      <c r="U31" s="81"/>
      <c r="V31" s="81"/>
      <c r="W31" s="81"/>
      <c r="X31" s="82"/>
      <c r="Y31" s="83"/>
      <c r="Z31" s="83"/>
      <c r="AA31" s="83"/>
      <c r="AB31" s="73"/>
      <c r="AC31" s="85"/>
      <c r="AD31" s="85"/>
      <c r="AE31" s="85"/>
      <c r="AF31" s="85"/>
      <c r="AG31" s="85"/>
      <c r="AH31" s="85"/>
      <c r="AI31" s="73"/>
      <c r="AJ31" s="73"/>
      <c r="AK31" s="74"/>
      <c r="AL31" s="75"/>
      <c r="AM31" s="76" t="str">
        <f t="shared" si="2"/>
        <v/>
      </c>
      <c r="AO31" s="77" t="str">
        <f t="array" ref="AO31">INDEX(R_Proy__ObjEsp,MATCH(E31,L_Proy,0))</f>
        <v>#N/A</v>
      </c>
      <c r="AP31" s="78"/>
      <c r="AQ31" s="78"/>
      <c r="AR31" s="79"/>
      <c r="AS31" s="78" t="str">
        <f t="array" ref="AS31">INDEX(R_ObjEsp__Prod,MATCH(H31,L_ObjEsp,0))</f>
        <v>#N/A</v>
      </c>
      <c r="AT31" s="80"/>
      <c r="AU31" s="80"/>
      <c r="AV31" s="80"/>
      <c r="AW31" s="80"/>
      <c r="AX31" s="79"/>
      <c r="AY31" s="78" t="str">
        <f t="array" ref="AY31">INDEX(R_Pro__Act,MATCH(I31,L_Prod,0))</f>
        <v>#N/A</v>
      </c>
      <c r="AZ31" s="80"/>
      <c r="BA31" s="80"/>
      <c r="BB31" s="80"/>
      <c r="BC31" s="80"/>
      <c r="BD31" s="80"/>
      <c r="BE31" s="79"/>
      <c r="BF31" s="79"/>
      <c r="BG31" s="79"/>
      <c r="BH31" s="79"/>
      <c r="BI31" s="79"/>
      <c r="BJ31" s="79"/>
      <c r="BK31" s="79"/>
      <c r="BL31" s="79"/>
      <c r="BM31" s="79"/>
    </row>
    <row r="32" ht="67.5" customHeight="1">
      <c r="A32" s="39"/>
      <c r="B32" s="62">
        <v>30.0</v>
      </c>
      <c r="C32" s="85"/>
      <c r="D32" s="64"/>
      <c r="E32" s="64"/>
      <c r="F32" s="65" t="str">
        <f>IF(ISBLANK(E32),"",VLOOKUP(E32,R_Inf_Proy,2,0))</f>
        <v/>
      </c>
      <c r="G32" s="65" t="str">
        <f>IF(ISBLANK(E32),"",VLOOKUP(E32,R_Inf_Proy,3,0))</f>
        <v/>
      </c>
      <c r="H32" s="86"/>
      <c r="I32" s="86"/>
      <c r="J32" s="86"/>
      <c r="K32" s="66"/>
      <c r="L32" s="87"/>
      <c r="M32" s="87"/>
      <c r="N32" s="87"/>
      <c r="O32" s="81"/>
      <c r="P32" s="81"/>
      <c r="Q32" s="82"/>
      <c r="R32" s="83"/>
      <c r="S32" s="83"/>
      <c r="T32" s="81"/>
      <c r="U32" s="81"/>
      <c r="V32" s="81"/>
      <c r="W32" s="81"/>
      <c r="X32" s="82"/>
      <c r="Y32" s="83"/>
      <c r="Z32" s="83"/>
      <c r="AA32" s="83"/>
      <c r="AB32" s="73"/>
      <c r="AC32" s="85"/>
      <c r="AD32" s="85"/>
      <c r="AE32" s="85"/>
      <c r="AF32" s="85"/>
      <c r="AG32" s="85"/>
      <c r="AH32" s="85"/>
      <c r="AI32" s="73"/>
      <c r="AJ32" s="73"/>
      <c r="AK32" s="74"/>
      <c r="AL32" s="75"/>
      <c r="AM32" s="76" t="str">
        <f t="shared" si="2"/>
        <v/>
      </c>
      <c r="AO32" s="77" t="str">
        <f t="array" ref="AO32">INDEX(R_Proy__ObjEsp,MATCH(E32,L_Proy,0))</f>
        <v>#N/A</v>
      </c>
      <c r="AP32" s="78"/>
      <c r="AQ32" s="78"/>
      <c r="AR32" s="79"/>
      <c r="AS32" s="78" t="str">
        <f t="array" ref="AS32">INDEX(R_ObjEsp__Prod,MATCH(H32,L_ObjEsp,0))</f>
        <v>#N/A</v>
      </c>
      <c r="AT32" s="80"/>
      <c r="AU32" s="80"/>
      <c r="AV32" s="80"/>
      <c r="AW32" s="80"/>
      <c r="AX32" s="79"/>
      <c r="AY32" s="78" t="str">
        <f t="array" ref="AY32">INDEX(R_Pro__Act,MATCH(I32,L_Prod,0))</f>
        <v>#N/A</v>
      </c>
      <c r="AZ32" s="80"/>
      <c r="BA32" s="80"/>
      <c r="BB32" s="80"/>
      <c r="BC32" s="80"/>
      <c r="BD32" s="80"/>
      <c r="BE32" s="79"/>
      <c r="BF32" s="79"/>
      <c r="BG32" s="79"/>
      <c r="BH32" s="79"/>
      <c r="BI32" s="79"/>
      <c r="BJ32" s="79"/>
      <c r="BK32" s="79"/>
      <c r="BL32" s="79"/>
      <c r="BM32" s="79"/>
    </row>
    <row r="33" ht="67.5" customHeight="1">
      <c r="A33" s="39"/>
      <c r="B33" s="62">
        <v>31.0</v>
      </c>
      <c r="C33" s="85"/>
      <c r="D33" s="64"/>
      <c r="E33" s="64"/>
      <c r="F33" s="65" t="str">
        <f>IF(ISBLANK(E33),"",VLOOKUP(E33,R_Inf_Proy,2,0))</f>
        <v/>
      </c>
      <c r="G33" s="65" t="str">
        <f>IF(ISBLANK(E33),"",VLOOKUP(E33,R_Inf_Proy,3,0))</f>
        <v/>
      </c>
      <c r="H33" s="86"/>
      <c r="I33" s="86"/>
      <c r="J33" s="86"/>
      <c r="K33" s="66"/>
      <c r="L33" s="87"/>
      <c r="M33" s="87"/>
      <c r="N33" s="87"/>
      <c r="O33" s="81"/>
      <c r="P33" s="81"/>
      <c r="Q33" s="82"/>
      <c r="R33" s="83"/>
      <c r="S33" s="83"/>
      <c r="T33" s="81"/>
      <c r="U33" s="81"/>
      <c r="V33" s="81"/>
      <c r="W33" s="81"/>
      <c r="X33" s="82"/>
      <c r="Y33" s="83"/>
      <c r="Z33" s="83"/>
      <c r="AA33" s="83"/>
      <c r="AB33" s="73"/>
      <c r="AC33" s="85"/>
      <c r="AD33" s="85"/>
      <c r="AE33" s="85"/>
      <c r="AF33" s="85"/>
      <c r="AG33" s="85"/>
      <c r="AH33" s="85"/>
      <c r="AI33" s="73"/>
      <c r="AJ33" s="73"/>
      <c r="AK33" s="74"/>
      <c r="AL33" s="75"/>
      <c r="AM33" s="76" t="str">
        <f t="shared" si="2"/>
        <v/>
      </c>
      <c r="AO33" s="77" t="str">
        <f t="array" ref="AO33">INDEX(R_Proy__ObjEsp,MATCH(E33,L_Proy,0))</f>
        <v>#N/A</v>
      </c>
      <c r="AP33" s="78"/>
      <c r="AQ33" s="78"/>
      <c r="AR33" s="79"/>
      <c r="AS33" s="78" t="str">
        <f t="array" ref="AS33">INDEX(R_ObjEsp__Prod,MATCH(H33,L_ObjEsp,0))</f>
        <v>#N/A</v>
      </c>
      <c r="AT33" s="80"/>
      <c r="AU33" s="80"/>
      <c r="AV33" s="80"/>
      <c r="AW33" s="80"/>
      <c r="AX33" s="79"/>
      <c r="AY33" s="78" t="str">
        <f t="array" ref="AY33">INDEX(R_Pro__Act,MATCH(I33,L_Prod,0))</f>
        <v>#N/A</v>
      </c>
      <c r="AZ33" s="80"/>
      <c r="BA33" s="80"/>
      <c r="BB33" s="80"/>
      <c r="BC33" s="80"/>
      <c r="BD33" s="80"/>
      <c r="BE33" s="79"/>
      <c r="BF33" s="79"/>
      <c r="BG33" s="79"/>
      <c r="BH33" s="79"/>
      <c r="BI33" s="79"/>
      <c r="BJ33" s="79"/>
      <c r="BK33" s="79"/>
      <c r="BL33" s="79"/>
      <c r="BM33" s="79"/>
    </row>
    <row r="34" ht="67.5" customHeight="1">
      <c r="A34" s="39"/>
      <c r="B34" s="62">
        <v>32.0</v>
      </c>
      <c r="C34" s="85"/>
      <c r="D34" s="64"/>
      <c r="E34" s="64"/>
      <c r="F34" s="65" t="str">
        <f>IF(ISBLANK(E34),"",VLOOKUP(E34,R_Inf_Proy,2,0))</f>
        <v/>
      </c>
      <c r="G34" s="65" t="str">
        <f>IF(ISBLANK(E34),"",VLOOKUP(E34,R_Inf_Proy,3,0))</f>
        <v/>
      </c>
      <c r="H34" s="86"/>
      <c r="I34" s="86"/>
      <c r="J34" s="86"/>
      <c r="K34" s="66"/>
      <c r="L34" s="87"/>
      <c r="M34" s="87"/>
      <c r="N34" s="87"/>
      <c r="O34" s="81"/>
      <c r="P34" s="81"/>
      <c r="Q34" s="82"/>
      <c r="R34" s="83"/>
      <c r="S34" s="83"/>
      <c r="T34" s="81"/>
      <c r="U34" s="81"/>
      <c r="V34" s="81"/>
      <c r="W34" s="81"/>
      <c r="X34" s="82"/>
      <c r="Y34" s="83"/>
      <c r="Z34" s="83"/>
      <c r="AA34" s="83"/>
      <c r="AB34" s="73"/>
      <c r="AC34" s="85"/>
      <c r="AD34" s="85"/>
      <c r="AE34" s="85"/>
      <c r="AF34" s="85"/>
      <c r="AG34" s="85"/>
      <c r="AH34" s="85"/>
      <c r="AI34" s="73"/>
      <c r="AJ34" s="73"/>
      <c r="AK34" s="74"/>
      <c r="AL34" s="75"/>
      <c r="AM34" s="76" t="str">
        <f t="shared" si="2"/>
        <v/>
      </c>
      <c r="AO34" s="77" t="str">
        <f t="array" ref="AO34">INDEX(R_Proy__ObjEsp,MATCH(E34,L_Proy,0))</f>
        <v>#N/A</v>
      </c>
      <c r="AP34" s="78"/>
      <c r="AQ34" s="78"/>
      <c r="AR34" s="79"/>
      <c r="AS34" s="78" t="str">
        <f t="array" ref="AS34">INDEX(R_ObjEsp__Prod,MATCH(H34,L_ObjEsp,0))</f>
        <v>#N/A</v>
      </c>
      <c r="AT34" s="80"/>
      <c r="AU34" s="80"/>
      <c r="AV34" s="80"/>
      <c r="AW34" s="80"/>
      <c r="AX34" s="79"/>
      <c r="AY34" s="78" t="str">
        <f t="array" ref="AY34">INDEX(R_Pro__Act,MATCH(I34,L_Prod,0))</f>
        <v>#N/A</v>
      </c>
      <c r="AZ34" s="80"/>
      <c r="BA34" s="80"/>
      <c r="BB34" s="80"/>
      <c r="BC34" s="80"/>
      <c r="BD34" s="80"/>
      <c r="BE34" s="79"/>
      <c r="BF34" s="79"/>
      <c r="BG34" s="79"/>
      <c r="BH34" s="79"/>
      <c r="BI34" s="79"/>
      <c r="BJ34" s="79"/>
      <c r="BK34" s="79"/>
      <c r="BL34" s="79"/>
      <c r="BM34" s="79"/>
    </row>
    <row r="35" ht="67.5" customHeight="1">
      <c r="A35" s="39"/>
      <c r="B35" s="62">
        <v>33.0</v>
      </c>
      <c r="C35" s="85"/>
      <c r="D35" s="64"/>
      <c r="E35" s="64"/>
      <c r="F35" s="65" t="str">
        <f>IF(ISBLANK(E35),"",VLOOKUP(E35,R_Inf_Proy,2,0))</f>
        <v/>
      </c>
      <c r="G35" s="65" t="str">
        <f>IF(ISBLANK(E35),"",VLOOKUP(E35,R_Inf_Proy,3,0))</f>
        <v/>
      </c>
      <c r="H35" s="86"/>
      <c r="I35" s="86"/>
      <c r="J35" s="86"/>
      <c r="K35" s="66"/>
      <c r="L35" s="87"/>
      <c r="M35" s="87"/>
      <c r="N35" s="87"/>
      <c r="O35" s="81"/>
      <c r="P35" s="81"/>
      <c r="Q35" s="82"/>
      <c r="R35" s="83"/>
      <c r="S35" s="83"/>
      <c r="T35" s="81"/>
      <c r="U35" s="81"/>
      <c r="V35" s="81"/>
      <c r="W35" s="81"/>
      <c r="X35" s="82"/>
      <c r="Y35" s="83"/>
      <c r="Z35" s="83"/>
      <c r="AA35" s="83"/>
      <c r="AB35" s="73"/>
      <c r="AC35" s="85"/>
      <c r="AD35" s="85"/>
      <c r="AE35" s="85"/>
      <c r="AF35" s="85"/>
      <c r="AG35" s="85"/>
      <c r="AH35" s="85"/>
      <c r="AI35" s="73"/>
      <c r="AJ35" s="73"/>
      <c r="AK35" s="74"/>
      <c r="AL35" s="75"/>
      <c r="AM35" s="76" t="str">
        <f t="shared" si="2"/>
        <v/>
      </c>
      <c r="AO35" s="77" t="str">
        <f t="array" ref="AO35">INDEX(R_Proy__ObjEsp,MATCH(E35,L_Proy,0))</f>
        <v>#N/A</v>
      </c>
      <c r="AP35" s="78"/>
      <c r="AQ35" s="78"/>
      <c r="AR35" s="79"/>
      <c r="AS35" s="78" t="str">
        <f t="array" ref="AS35">INDEX(R_ObjEsp__Prod,MATCH(H35,L_ObjEsp,0))</f>
        <v>#N/A</v>
      </c>
      <c r="AT35" s="80"/>
      <c r="AU35" s="80"/>
      <c r="AV35" s="80"/>
      <c r="AW35" s="80"/>
      <c r="AX35" s="79"/>
      <c r="AY35" s="78" t="str">
        <f t="array" ref="AY35">INDEX(R_Pro__Act,MATCH(I35,L_Prod,0))</f>
        <v>#N/A</v>
      </c>
      <c r="AZ35" s="80"/>
      <c r="BA35" s="80"/>
      <c r="BB35" s="80"/>
      <c r="BC35" s="80"/>
      <c r="BD35" s="80"/>
      <c r="BE35" s="79"/>
      <c r="BF35" s="79"/>
      <c r="BG35" s="79"/>
      <c r="BH35" s="79"/>
      <c r="BI35" s="79"/>
      <c r="BJ35" s="79"/>
      <c r="BK35" s="79"/>
      <c r="BL35" s="79"/>
      <c r="BM35" s="79"/>
    </row>
    <row r="36" ht="67.5" customHeight="1">
      <c r="A36" s="39"/>
      <c r="B36" s="62">
        <v>34.0</v>
      </c>
      <c r="C36" s="85"/>
      <c r="D36" s="64"/>
      <c r="E36" s="64"/>
      <c r="F36" s="65" t="str">
        <f>IF(ISBLANK(E36),"",VLOOKUP(E36,R_Inf_Proy,2,0))</f>
        <v/>
      </c>
      <c r="G36" s="65" t="str">
        <f>IF(ISBLANK(E36),"",VLOOKUP(E36,R_Inf_Proy,3,0))</f>
        <v/>
      </c>
      <c r="H36" s="86"/>
      <c r="I36" s="86"/>
      <c r="J36" s="86"/>
      <c r="K36" s="66"/>
      <c r="L36" s="87"/>
      <c r="M36" s="87"/>
      <c r="N36" s="87"/>
      <c r="O36" s="81"/>
      <c r="P36" s="81"/>
      <c r="Q36" s="82"/>
      <c r="R36" s="83"/>
      <c r="S36" s="83"/>
      <c r="T36" s="81"/>
      <c r="U36" s="81"/>
      <c r="V36" s="81"/>
      <c r="W36" s="81"/>
      <c r="X36" s="82"/>
      <c r="Y36" s="83"/>
      <c r="Z36" s="83"/>
      <c r="AA36" s="83"/>
      <c r="AB36" s="73"/>
      <c r="AC36" s="85"/>
      <c r="AD36" s="85"/>
      <c r="AE36" s="85"/>
      <c r="AF36" s="85"/>
      <c r="AG36" s="85"/>
      <c r="AH36" s="85"/>
      <c r="AI36" s="73"/>
      <c r="AJ36" s="73"/>
      <c r="AK36" s="74"/>
      <c r="AL36" s="75"/>
      <c r="AM36" s="76" t="str">
        <f t="shared" si="2"/>
        <v/>
      </c>
      <c r="AO36" s="77" t="str">
        <f t="array" ref="AO36">INDEX(R_Proy__ObjEsp,MATCH(E36,L_Proy,0))</f>
        <v>#N/A</v>
      </c>
      <c r="AP36" s="78"/>
      <c r="AQ36" s="78"/>
      <c r="AR36" s="79"/>
      <c r="AS36" s="78" t="str">
        <f t="array" ref="AS36">INDEX(R_ObjEsp__Prod,MATCH(H36,L_ObjEsp,0))</f>
        <v>#N/A</v>
      </c>
      <c r="AT36" s="80"/>
      <c r="AU36" s="80"/>
      <c r="AV36" s="80"/>
      <c r="AW36" s="80"/>
      <c r="AX36" s="79"/>
      <c r="AY36" s="78" t="str">
        <f t="array" ref="AY36">INDEX(R_Pro__Act,MATCH(I36,L_Prod,0))</f>
        <v>#N/A</v>
      </c>
      <c r="AZ36" s="80"/>
      <c r="BA36" s="80"/>
      <c r="BB36" s="80"/>
      <c r="BC36" s="80"/>
      <c r="BD36" s="80"/>
      <c r="BE36" s="79"/>
      <c r="BF36" s="79"/>
      <c r="BG36" s="79"/>
      <c r="BH36" s="79"/>
      <c r="BI36" s="79"/>
      <c r="BJ36" s="79"/>
      <c r="BK36" s="79"/>
      <c r="BL36" s="79"/>
      <c r="BM36" s="79"/>
    </row>
    <row r="37" ht="67.5" customHeight="1">
      <c r="A37" s="39"/>
      <c r="B37" s="62">
        <v>35.0</v>
      </c>
      <c r="C37" s="85"/>
      <c r="D37" s="64"/>
      <c r="E37" s="64"/>
      <c r="F37" s="65" t="str">
        <f>IF(ISBLANK(E37),"",VLOOKUP(E37,R_Inf_Proy,2,0))</f>
        <v/>
      </c>
      <c r="G37" s="65" t="str">
        <f>IF(ISBLANK(E37),"",VLOOKUP(E37,R_Inf_Proy,3,0))</f>
        <v/>
      </c>
      <c r="H37" s="86"/>
      <c r="I37" s="86"/>
      <c r="J37" s="86"/>
      <c r="K37" s="66"/>
      <c r="L37" s="87"/>
      <c r="M37" s="87"/>
      <c r="N37" s="87"/>
      <c r="O37" s="81"/>
      <c r="P37" s="81"/>
      <c r="Q37" s="82"/>
      <c r="R37" s="83"/>
      <c r="S37" s="83"/>
      <c r="T37" s="81"/>
      <c r="U37" s="81"/>
      <c r="V37" s="81"/>
      <c r="W37" s="81"/>
      <c r="X37" s="82"/>
      <c r="Y37" s="83"/>
      <c r="Z37" s="83"/>
      <c r="AA37" s="83"/>
      <c r="AB37" s="73"/>
      <c r="AC37" s="85"/>
      <c r="AD37" s="85"/>
      <c r="AE37" s="85"/>
      <c r="AF37" s="85"/>
      <c r="AG37" s="85"/>
      <c r="AH37" s="85"/>
      <c r="AI37" s="73"/>
      <c r="AJ37" s="73"/>
      <c r="AK37" s="74"/>
      <c r="AL37" s="75"/>
      <c r="AM37" s="76" t="str">
        <f t="shared" si="2"/>
        <v/>
      </c>
      <c r="AO37" s="77" t="str">
        <f t="array" ref="AO37">INDEX(R_Proy__ObjEsp,MATCH(E37,L_Proy,0))</f>
        <v>#N/A</v>
      </c>
      <c r="AP37" s="78"/>
      <c r="AQ37" s="78"/>
      <c r="AR37" s="79"/>
      <c r="AS37" s="78" t="str">
        <f t="array" ref="AS37">INDEX(R_ObjEsp__Prod,MATCH(H37,L_ObjEsp,0))</f>
        <v>#N/A</v>
      </c>
      <c r="AT37" s="80"/>
      <c r="AU37" s="80"/>
      <c r="AV37" s="80"/>
      <c r="AW37" s="80"/>
      <c r="AX37" s="79"/>
      <c r="AY37" s="78" t="str">
        <f t="array" ref="AY37">INDEX(R_Pro__Act,MATCH(I37,L_Prod,0))</f>
        <v>#N/A</v>
      </c>
      <c r="AZ37" s="80"/>
      <c r="BA37" s="80"/>
      <c r="BB37" s="80"/>
      <c r="BC37" s="80"/>
      <c r="BD37" s="80"/>
      <c r="BE37" s="79"/>
      <c r="BF37" s="79"/>
      <c r="BG37" s="79"/>
      <c r="BH37" s="79"/>
      <c r="BI37" s="79"/>
      <c r="BJ37" s="79"/>
      <c r="BK37" s="79"/>
      <c r="BL37" s="79"/>
      <c r="BM37" s="79"/>
    </row>
    <row r="38" ht="67.5" customHeight="1">
      <c r="A38" s="39"/>
      <c r="B38" s="62">
        <v>36.0</v>
      </c>
      <c r="C38" s="85"/>
      <c r="D38" s="64"/>
      <c r="E38" s="64"/>
      <c r="F38" s="65" t="str">
        <f>IF(ISBLANK(E38),"",VLOOKUP(E38,R_Inf_Proy,2,0))</f>
        <v/>
      </c>
      <c r="G38" s="65" t="str">
        <f>IF(ISBLANK(E38),"",VLOOKUP(E38,R_Inf_Proy,3,0))</f>
        <v/>
      </c>
      <c r="H38" s="86"/>
      <c r="I38" s="86"/>
      <c r="J38" s="86"/>
      <c r="K38" s="66"/>
      <c r="L38" s="87"/>
      <c r="M38" s="87"/>
      <c r="N38" s="87"/>
      <c r="O38" s="81"/>
      <c r="P38" s="81"/>
      <c r="Q38" s="82"/>
      <c r="R38" s="83"/>
      <c r="S38" s="83"/>
      <c r="T38" s="81"/>
      <c r="U38" s="81"/>
      <c r="V38" s="81"/>
      <c r="W38" s="81"/>
      <c r="X38" s="82"/>
      <c r="Y38" s="83"/>
      <c r="Z38" s="83"/>
      <c r="AA38" s="83"/>
      <c r="AB38" s="73"/>
      <c r="AC38" s="85"/>
      <c r="AD38" s="85"/>
      <c r="AE38" s="85"/>
      <c r="AF38" s="85"/>
      <c r="AG38" s="85"/>
      <c r="AH38" s="85"/>
      <c r="AI38" s="73"/>
      <c r="AJ38" s="73"/>
      <c r="AK38" s="74"/>
      <c r="AL38" s="75"/>
      <c r="AM38" s="76" t="str">
        <f t="shared" si="2"/>
        <v/>
      </c>
      <c r="AO38" s="77" t="str">
        <f t="array" ref="AO38">INDEX(R_Proy__ObjEsp,MATCH(E38,L_Proy,0))</f>
        <v>#N/A</v>
      </c>
      <c r="AP38" s="78"/>
      <c r="AQ38" s="78"/>
      <c r="AR38" s="79"/>
      <c r="AS38" s="78" t="str">
        <f t="array" ref="AS38">INDEX(R_ObjEsp__Prod,MATCH(H38,L_ObjEsp,0))</f>
        <v>#N/A</v>
      </c>
      <c r="AT38" s="80"/>
      <c r="AU38" s="80"/>
      <c r="AV38" s="80"/>
      <c r="AW38" s="80"/>
      <c r="AX38" s="79"/>
      <c r="AY38" s="78" t="str">
        <f t="array" ref="AY38">INDEX(R_Pro__Act,MATCH(I38,L_Prod,0))</f>
        <v>#N/A</v>
      </c>
      <c r="AZ38" s="80"/>
      <c r="BA38" s="80"/>
      <c r="BB38" s="80"/>
      <c r="BC38" s="80"/>
      <c r="BD38" s="80"/>
      <c r="BE38" s="79"/>
      <c r="BF38" s="79"/>
      <c r="BG38" s="79"/>
      <c r="BH38" s="79"/>
      <c r="BI38" s="79"/>
      <c r="BJ38" s="79"/>
      <c r="BK38" s="79"/>
      <c r="BL38" s="79"/>
      <c r="BM38" s="79"/>
    </row>
    <row r="39" ht="67.5" customHeight="1">
      <c r="A39" s="39"/>
      <c r="B39" s="62">
        <v>37.0</v>
      </c>
      <c r="C39" s="85"/>
      <c r="D39" s="64"/>
      <c r="E39" s="64"/>
      <c r="F39" s="65" t="str">
        <f>IF(ISBLANK(E39),"",VLOOKUP(E39,R_Inf_Proy,2,0))</f>
        <v/>
      </c>
      <c r="G39" s="65" t="str">
        <f>IF(ISBLANK(E39),"",VLOOKUP(E39,R_Inf_Proy,3,0))</f>
        <v/>
      </c>
      <c r="H39" s="86"/>
      <c r="I39" s="86"/>
      <c r="J39" s="86"/>
      <c r="K39" s="66"/>
      <c r="L39" s="87"/>
      <c r="M39" s="87"/>
      <c r="N39" s="87"/>
      <c r="O39" s="81"/>
      <c r="P39" s="81"/>
      <c r="Q39" s="82"/>
      <c r="R39" s="83"/>
      <c r="S39" s="83"/>
      <c r="T39" s="81"/>
      <c r="U39" s="81"/>
      <c r="V39" s="81"/>
      <c r="W39" s="81"/>
      <c r="X39" s="82"/>
      <c r="Y39" s="83"/>
      <c r="Z39" s="83"/>
      <c r="AA39" s="83"/>
      <c r="AB39" s="73"/>
      <c r="AC39" s="85"/>
      <c r="AD39" s="85"/>
      <c r="AE39" s="85"/>
      <c r="AF39" s="85"/>
      <c r="AG39" s="85"/>
      <c r="AH39" s="85"/>
      <c r="AI39" s="73"/>
      <c r="AJ39" s="73"/>
      <c r="AK39" s="74"/>
      <c r="AL39" s="75"/>
      <c r="AM39" s="76" t="str">
        <f t="shared" si="2"/>
        <v/>
      </c>
      <c r="AO39" s="77" t="str">
        <f t="array" ref="AO39">INDEX(R_Proy__ObjEsp,MATCH(E39,L_Proy,0))</f>
        <v>#N/A</v>
      </c>
      <c r="AP39" s="78"/>
      <c r="AQ39" s="78"/>
      <c r="AR39" s="79"/>
      <c r="AS39" s="78" t="str">
        <f t="array" ref="AS39">INDEX(R_ObjEsp__Prod,MATCH(H39,L_ObjEsp,0))</f>
        <v>#N/A</v>
      </c>
      <c r="AT39" s="80"/>
      <c r="AU39" s="80"/>
      <c r="AV39" s="80"/>
      <c r="AW39" s="80"/>
      <c r="AX39" s="79"/>
      <c r="AY39" s="78" t="str">
        <f t="array" ref="AY39">INDEX(R_Pro__Act,MATCH(I39,L_Prod,0))</f>
        <v>#N/A</v>
      </c>
      <c r="AZ39" s="80"/>
      <c r="BA39" s="80"/>
      <c r="BB39" s="80"/>
      <c r="BC39" s="80"/>
      <c r="BD39" s="80"/>
      <c r="BE39" s="79"/>
      <c r="BF39" s="79"/>
      <c r="BG39" s="79"/>
      <c r="BH39" s="79"/>
      <c r="BI39" s="79"/>
      <c r="BJ39" s="79"/>
      <c r="BK39" s="79"/>
      <c r="BL39" s="79"/>
      <c r="BM39" s="79"/>
    </row>
    <row r="40" ht="67.5" customHeight="1">
      <c r="A40" s="39"/>
      <c r="B40" s="62">
        <v>38.0</v>
      </c>
      <c r="C40" s="85"/>
      <c r="D40" s="64"/>
      <c r="E40" s="64"/>
      <c r="F40" s="65" t="str">
        <f>IF(ISBLANK(E40),"",VLOOKUP(E40,R_Inf_Proy,2,0))</f>
        <v/>
      </c>
      <c r="G40" s="65" t="str">
        <f>IF(ISBLANK(E40),"",VLOOKUP(E40,R_Inf_Proy,3,0))</f>
        <v/>
      </c>
      <c r="H40" s="86"/>
      <c r="I40" s="86"/>
      <c r="J40" s="86"/>
      <c r="K40" s="66"/>
      <c r="L40" s="87"/>
      <c r="M40" s="87"/>
      <c r="N40" s="87"/>
      <c r="O40" s="81"/>
      <c r="P40" s="81"/>
      <c r="Q40" s="82"/>
      <c r="R40" s="83"/>
      <c r="S40" s="83"/>
      <c r="T40" s="81"/>
      <c r="U40" s="81"/>
      <c r="V40" s="81"/>
      <c r="W40" s="81"/>
      <c r="X40" s="82"/>
      <c r="Y40" s="83"/>
      <c r="Z40" s="83"/>
      <c r="AA40" s="83"/>
      <c r="AB40" s="73"/>
      <c r="AC40" s="85"/>
      <c r="AD40" s="85"/>
      <c r="AE40" s="85"/>
      <c r="AF40" s="85"/>
      <c r="AG40" s="85"/>
      <c r="AH40" s="85"/>
      <c r="AI40" s="73"/>
      <c r="AJ40" s="73"/>
      <c r="AK40" s="74"/>
      <c r="AL40" s="75"/>
      <c r="AM40" s="76" t="str">
        <f t="shared" si="2"/>
        <v/>
      </c>
      <c r="AO40" s="77" t="str">
        <f t="array" ref="AO40">INDEX(R_Proy__ObjEsp,MATCH(E40,L_Proy,0))</f>
        <v>#N/A</v>
      </c>
      <c r="AP40" s="78"/>
      <c r="AQ40" s="78"/>
      <c r="AR40" s="79"/>
      <c r="AS40" s="78" t="str">
        <f t="array" ref="AS40">INDEX(R_ObjEsp__Prod,MATCH(H40,L_ObjEsp,0))</f>
        <v>#N/A</v>
      </c>
      <c r="AT40" s="80"/>
      <c r="AU40" s="80"/>
      <c r="AV40" s="80"/>
      <c r="AW40" s="80"/>
      <c r="AX40" s="79"/>
      <c r="AY40" s="78" t="str">
        <f t="array" ref="AY40">INDEX(R_Pro__Act,MATCH(I40,L_Prod,0))</f>
        <v>#N/A</v>
      </c>
      <c r="AZ40" s="80"/>
      <c r="BA40" s="80"/>
      <c r="BB40" s="80"/>
      <c r="BC40" s="80"/>
      <c r="BD40" s="80"/>
      <c r="BE40" s="79"/>
      <c r="BF40" s="79"/>
      <c r="BG40" s="79"/>
      <c r="BH40" s="79"/>
      <c r="BI40" s="79"/>
      <c r="BJ40" s="79"/>
      <c r="BK40" s="79"/>
      <c r="BL40" s="79"/>
      <c r="BM40" s="79"/>
    </row>
    <row r="41" ht="67.5" customHeight="1">
      <c r="A41" s="39"/>
      <c r="B41" s="62">
        <v>39.0</v>
      </c>
      <c r="C41" s="85"/>
      <c r="D41" s="64"/>
      <c r="E41" s="64"/>
      <c r="F41" s="65" t="str">
        <f>IF(ISBLANK(E41),"",VLOOKUP(E41,R_Inf_Proy,2,0))</f>
        <v/>
      </c>
      <c r="G41" s="65" t="str">
        <f>IF(ISBLANK(E41),"",VLOOKUP(E41,R_Inf_Proy,3,0))</f>
        <v/>
      </c>
      <c r="H41" s="86"/>
      <c r="I41" s="86"/>
      <c r="J41" s="86"/>
      <c r="K41" s="66"/>
      <c r="L41" s="87"/>
      <c r="M41" s="87"/>
      <c r="N41" s="87"/>
      <c r="O41" s="81"/>
      <c r="P41" s="81"/>
      <c r="Q41" s="82"/>
      <c r="R41" s="83"/>
      <c r="S41" s="83"/>
      <c r="T41" s="81"/>
      <c r="U41" s="81"/>
      <c r="V41" s="81"/>
      <c r="W41" s="81"/>
      <c r="X41" s="82"/>
      <c r="Y41" s="83"/>
      <c r="Z41" s="83"/>
      <c r="AA41" s="83"/>
      <c r="AB41" s="73"/>
      <c r="AC41" s="85"/>
      <c r="AD41" s="85"/>
      <c r="AE41" s="85"/>
      <c r="AF41" s="85"/>
      <c r="AG41" s="85"/>
      <c r="AH41" s="85"/>
      <c r="AI41" s="73"/>
      <c r="AJ41" s="73"/>
      <c r="AK41" s="74"/>
      <c r="AL41" s="75"/>
      <c r="AM41" s="76" t="str">
        <f t="shared" si="2"/>
        <v/>
      </c>
      <c r="AO41" s="77" t="str">
        <f t="array" ref="AO41">INDEX(R_Proy__ObjEsp,MATCH(E41,L_Proy,0))</f>
        <v>#N/A</v>
      </c>
      <c r="AP41" s="78"/>
      <c r="AQ41" s="78"/>
      <c r="AR41" s="79"/>
      <c r="AS41" s="78" t="str">
        <f t="array" ref="AS41">INDEX(R_ObjEsp__Prod,MATCH(H41,L_ObjEsp,0))</f>
        <v>#N/A</v>
      </c>
      <c r="AT41" s="80"/>
      <c r="AU41" s="80"/>
      <c r="AV41" s="80"/>
      <c r="AW41" s="80"/>
      <c r="AX41" s="79"/>
      <c r="AY41" s="78" t="str">
        <f t="array" ref="AY41">INDEX(R_Pro__Act,MATCH(I41,L_Prod,0))</f>
        <v>#N/A</v>
      </c>
      <c r="AZ41" s="80"/>
      <c r="BA41" s="80"/>
      <c r="BB41" s="80"/>
      <c r="BC41" s="80"/>
      <c r="BD41" s="80"/>
      <c r="BE41" s="79"/>
      <c r="BF41" s="79"/>
      <c r="BG41" s="79"/>
      <c r="BH41" s="79"/>
      <c r="BI41" s="79"/>
      <c r="BJ41" s="79"/>
      <c r="BK41" s="79"/>
      <c r="BL41" s="79"/>
      <c r="BM41" s="79"/>
    </row>
    <row r="42" ht="67.5" customHeight="1">
      <c r="A42" s="39"/>
      <c r="B42" s="62">
        <v>40.0</v>
      </c>
      <c r="C42" s="85"/>
      <c r="D42" s="64"/>
      <c r="E42" s="64"/>
      <c r="F42" s="65" t="str">
        <f>IF(ISBLANK(E42),"",VLOOKUP(E42,R_Inf_Proy,2,0))</f>
        <v/>
      </c>
      <c r="G42" s="65" t="str">
        <f>IF(ISBLANK(E42),"",VLOOKUP(E42,R_Inf_Proy,3,0))</f>
        <v/>
      </c>
      <c r="H42" s="86"/>
      <c r="I42" s="86"/>
      <c r="J42" s="86"/>
      <c r="K42" s="66"/>
      <c r="L42" s="87"/>
      <c r="M42" s="87"/>
      <c r="N42" s="87"/>
      <c r="O42" s="81"/>
      <c r="P42" s="81"/>
      <c r="Q42" s="82"/>
      <c r="R42" s="83"/>
      <c r="S42" s="83"/>
      <c r="T42" s="81"/>
      <c r="U42" s="81"/>
      <c r="V42" s="81"/>
      <c r="W42" s="81"/>
      <c r="X42" s="82"/>
      <c r="Y42" s="83"/>
      <c r="Z42" s="83"/>
      <c r="AA42" s="83"/>
      <c r="AB42" s="73"/>
      <c r="AC42" s="85"/>
      <c r="AD42" s="85"/>
      <c r="AE42" s="85"/>
      <c r="AF42" s="85"/>
      <c r="AG42" s="85"/>
      <c r="AH42" s="85"/>
      <c r="AI42" s="73"/>
      <c r="AJ42" s="73"/>
      <c r="AK42" s="74"/>
      <c r="AL42" s="75"/>
      <c r="AM42" s="76" t="str">
        <f t="shared" si="2"/>
        <v/>
      </c>
      <c r="AO42" s="77" t="str">
        <f t="array" ref="AO42">INDEX(R_Proy__ObjEsp,MATCH(E42,L_Proy,0))</f>
        <v>#N/A</v>
      </c>
      <c r="AP42" s="78"/>
      <c r="AQ42" s="78"/>
      <c r="AR42" s="79"/>
      <c r="AS42" s="78" t="str">
        <f t="array" ref="AS42">INDEX(R_ObjEsp__Prod,MATCH(H42,L_ObjEsp,0))</f>
        <v>#N/A</v>
      </c>
      <c r="AT42" s="80"/>
      <c r="AU42" s="80"/>
      <c r="AV42" s="80"/>
      <c r="AW42" s="80"/>
      <c r="AX42" s="79"/>
      <c r="AY42" s="78" t="str">
        <f t="array" ref="AY42">INDEX(R_Pro__Act,MATCH(I42,L_Prod,0))</f>
        <v>#N/A</v>
      </c>
      <c r="AZ42" s="80"/>
      <c r="BA42" s="80"/>
      <c r="BB42" s="80"/>
      <c r="BC42" s="80"/>
      <c r="BD42" s="80"/>
      <c r="BE42" s="79"/>
      <c r="BF42" s="79"/>
      <c r="BG42" s="79"/>
      <c r="BH42" s="79"/>
      <c r="BI42" s="79"/>
      <c r="BJ42" s="79"/>
      <c r="BK42" s="79"/>
      <c r="BL42" s="79"/>
      <c r="BM42" s="79"/>
    </row>
    <row r="43" ht="67.5" customHeight="1">
      <c r="A43" s="39"/>
      <c r="B43" s="62">
        <v>41.0</v>
      </c>
      <c r="C43" s="85"/>
      <c r="D43" s="64"/>
      <c r="E43" s="64"/>
      <c r="F43" s="65" t="str">
        <f>IF(ISBLANK(E43),"",VLOOKUP(E43,R_Inf_Proy,2,0))</f>
        <v/>
      </c>
      <c r="G43" s="65" t="str">
        <f>IF(ISBLANK(E43),"",VLOOKUP(E43,R_Inf_Proy,3,0))</f>
        <v/>
      </c>
      <c r="H43" s="86"/>
      <c r="I43" s="86"/>
      <c r="J43" s="86"/>
      <c r="K43" s="66"/>
      <c r="L43" s="87"/>
      <c r="M43" s="87"/>
      <c r="N43" s="87"/>
      <c r="O43" s="81"/>
      <c r="P43" s="81"/>
      <c r="Q43" s="82"/>
      <c r="R43" s="83"/>
      <c r="S43" s="83"/>
      <c r="T43" s="81"/>
      <c r="U43" s="81"/>
      <c r="V43" s="81"/>
      <c r="W43" s="81"/>
      <c r="X43" s="82"/>
      <c r="Y43" s="83"/>
      <c r="Z43" s="83"/>
      <c r="AA43" s="83"/>
      <c r="AB43" s="73"/>
      <c r="AC43" s="85"/>
      <c r="AD43" s="85"/>
      <c r="AE43" s="85"/>
      <c r="AF43" s="85"/>
      <c r="AG43" s="85"/>
      <c r="AH43" s="85"/>
      <c r="AI43" s="73"/>
      <c r="AJ43" s="73"/>
      <c r="AK43" s="74"/>
      <c r="AL43" s="75"/>
      <c r="AM43" s="76" t="str">
        <f t="shared" si="2"/>
        <v/>
      </c>
      <c r="AO43" s="77" t="str">
        <f t="array" ref="AO43">INDEX(R_Proy__ObjEsp,MATCH(E43,L_Proy,0))</f>
        <v>#N/A</v>
      </c>
      <c r="AP43" s="78"/>
      <c r="AQ43" s="78"/>
      <c r="AR43" s="79"/>
      <c r="AS43" s="78" t="str">
        <f t="array" ref="AS43">INDEX(R_ObjEsp__Prod,MATCH(H43,L_ObjEsp,0))</f>
        <v>#N/A</v>
      </c>
      <c r="AT43" s="80"/>
      <c r="AU43" s="80"/>
      <c r="AV43" s="80"/>
      <c r="AW43" s="80"/>
      <c r="AX43" s="79"/>
      <c r="AY43" s="78" t="str">
        <f t="array" ref="AY43">INDEX(R_Pro__Act,MATCH(I43,L_Prod,0))</f>
        <v>#N/A</v>
      </c>
      <c r="AZ43" s="80"/>
      <c r="BA43" s="80"/>
      <c r="BB43" s="80"/>
      <c r="BC43" s="80"/>
      <c r="BD43" s="80"/>
      <c r="BE43" s="79"/>
      <c r="BF43" s="79"/>
      <c r="BG43" s="79"/>
      <c r="BH43" s="79"/>
      <c r="BI43" s="79"/>
      <c r="BJ43" s="79"/>
      <c r="BK43" s="79"/>
      <c r="BL43" s="79"/>
      <c r="BM43" s="79"/>
    </row>
    <row r="44" ht="67.5" customHeight="1">
      <c r="A44" s="39"/>
      <c r="B44" s="62">
        <v>42.0</v>
      </c>
      <c r="C44" s="85"/>
      <c r="D44" s="64"/>
      <c r="E44" s="64"/>
      <c r="F44" s="65" t="str">
        <f>IF(ISBLANK(E44),"",VLOOKUP(E44,R_Inf_Proy,2,0))</f>
        <v/>
      </c>
      <c r="G44" s="65" t="str">
        <f>IF(ISBLANK(E44),"",VLOOKUP(E44,R_Inf_Proy,3,0))</f>
        <v/>
      </c>
      <c r="H44" s="86"/>
      <c r="I44" s="86"/>
      <c r="J44" s="86"/>
      <c r="K44" s="66"/>
      <c r="L44" s="87"/>
      <c r="M44" s="87"/>
      <c r="N44" s="87"/>
      <c r="O44" s="81"/>
      <c r="P44" s="81"/>
      <c r="Q44" s="82"/>
      <c r="R44" s="83"/>
      <c r="S44" s="83"/>
      <c r="T44" s="81"/>
      <c r="U44" s="81"/>
      <c r="V44" s="81"/>
      <c r="W44" s="81"/>
      <c r="X44" s="82"/>
      <c r="Y44" s="83"/>
      <c r="Z44" s="83"/>
      <c r="AA44" s="83"/>
      <c r="AB44" s="73"/>
      <c r="AC44" s="85"/>
      <c r="AD44" s="85"/>
      <c r="AE44" s="85"/>
      <c r="AF44" s="85"/>
      <c r="AG44" s="85"/>
      <c r="AH44" s="85"/>
      <c r="AI44" s="73"/>
      <c r="AJ44" s="73"/>
      <c r="AK44" s="74"/>
      <c r="AL44" s="75"/>
      <c r="AM44" s="76" t="str">
        <f t="shared" si="2"/>
        <v/>
      </c>
      <c r="AO44" s="77" t="str">
        <f t="array" ref="AO44">INDEX(R_Proy__ObjEsp,MATCH(E44,L_Proy,0))</f>
        <v>#N/A</v>
      </c>
      <c r="AP44" s="78"/>
      <c r="AQ44" s="78"/>
      <c r="AR44" s="79"/>
      <c r="AS44" s="78" t="str">
        <f t="array" ref="AS44">INDEX(R_ObjEsp__Prod,MATCH(H44,L_ObjEsp,0))</f>
        <v>#N/A</v>
      </c>
      <c r="AT44" s="80"/>
      <c r="AU44" s="80"/>
      <c r="AV44" s="80"/>
      <c r="AW44" s="80"/>
      <c r="AX44" s="79"/>
      <c r="AY44" s="78" t="str">
        <f t="array" ref="AY44">INDEX(R_Pro__Act,MATCH(I44,L_Prod,0))</f>
        <v>#N/A</v>
      </c>
      <c r="AZ44" s="80"/>
      <c r="BA44" s="80"/>
      <c r="BB44" s="80"/>
      <c r="BC44" s="80"/>
      <c r="BD44" s="80"/>
      <c r="BE44" s="79"/>
      <c r="BF44" s="79"/>
      <c r="BG44" s="79"/>
      <c r="BH44" s="79"/>
      <c r="BI44" s="79"/>
      <c r="BJ44" s="79"/>
      <c r="BK44" s="79"/>
      <c r="BL44" s="79"/>
      <c r="BM44" s="79"/>
    </row>
    <row r="45" ht="67.5" customHeight="1">
      <c r="A45" s="39"/>
      <c r="B45" s="62">
        <v>43.0</v>
      </c>
      <c r="C45" s="85"/>
      <c r="D45" s="64"/>
      <c r="E45" s="64"/>
      <c r="F45" s="65" t="str">
        <f>IF(ISBLANK(E45),"",VLOOKUP(E45,R_Inf_Proy,2,0))</f>
        <v/>
      </c>
      <c r="G45" s="65" t="str">
        <f>IF(ISBLANK(E45),"",VLOOKUP(E45,R_Inf_Proy,3,0))</f>
        <v/>
      </c>
      <c r="H45" s="86"/>
      <c r="I45" s="86"/>
      <c r="J45" s="86"/>
      <c r="K45" s="66"/>
      <c r="L45" s="87"/>
      <c r="M45" s="87"/>
      <c r="N45" s="87"/>
      <c r="O45" s="81"/>
      <c r="P45" s="81"/>
      <c r="Q45" s="82"/>
      <c r="R45" s="83"/>
      <c r="S45" s="83"/>
      <c r="T45" s="81"/>
      <c r="U45" s="81"/>
      <c r="V45" s="81"/>
      <c r="W45" s="81"/>
      <c r="X45" s="82"/>
      <c r="Y45" s="83"/>
      <c r="Z45" s="83"/>
      <c r="AA45" s="83"/>
      <c r="AB45" s="73"/>
      <c r="AC45" s="85"/>
      <c r="AD45" s="85"/>
      <c r="AE45" s="85"/>
      <c r="AF45" s="85"/>
      <c r="AG45" s="85"/>
      <c r="AH45" s="85"/>
      <c r="AI45" s="73"/>
      <c r="AJ45" s="73"/>
      <c r="AK45" s="74"/>
      <c r="AL45" s="75"/>
      <c r="AM45" s="76" t="str">
        <f t="shared" si="2"/>
        <v/>
      </c>
      <c r="AO45" s="77" t="str">
        <f t="array" ref="AO45">INDEX(R_Proy__ObjEsp,MATCH(E45,L_Proy,0))</f>
        <v>#N/A</v>
      </c>
      <c r="AP45" s="78"/>
      <c r="AQ45" s="78"/>
      <c r="AR45" s="79"/>
      <c r="AS45" s="78" t="str">
        <f t="array" ref="AS45">INDEX(R_ObjEsp__Prod,MATCH(H45,L_ObjEsp,0))</f>
        <v>#N/A</v>
      </c>
      <c r="AT45" s="80"/>
      <c r="AU45" s="80"/>
      <c r="AV45" s="80"/>
      <c r="AW45" s="80"/>
      <c r="AX45" s="79"/>
      <c r="AY45" s="78" t="str">
        <f t="array" ref="AY45">INDEX(R_Pro__Act,MATCH(I45,L_Prod,0))</f>
        <v>#N/A</v>
      </c>
      <c r="AZ45" s="80"/>
      <c r="BA45" s="80"/>
      <c r="BB45" s="80"/>
      <c r="BC45" s="80"/>
      <c r="BD45" s="80"/>
      <c r="BE45" s="79"/>
      <c r="BF45" s="79"/>
      <c r="BG45" s="79"/>
      <c r="BH45" s="79"/>
      <c r="BI45" s="79"/>
      <c r="BJ45" s="79"/>
      <c r="BK45" s="79"/>
      <c r="BL45" s="79"/>
      <c r="BM45" s="79"/>
    </row>
    <row r="46" ht="67.5" customHeight="1">
      <c r="A46" s="39"/>
      <c r="B46" s="62">
        <v>44.0</v>
      </c>
      <c r="C46" s="85"/>
      <c r="D46" s="64"/>
      <c r="E46" s="64"/>
      <c r="F46" s="65" t="str">
        <f>IF(ISBLANK(E46),"",VLOOKUP(E46,R_Inf_Proy,2,0))</f>
        <v/>
      </c>
      <c r="G46" s="65" t="str">
        <f>IF(ISBLANK(E46),"",VLOOKUP(E46,R_Inf_Proy,3,0))</f>
        <v/>
      </c>
      <c r="H46" s="86"/>
      <c r="I46" s="86"/>
      <c r="J46" s="86"/>
      <c r="K46" s="66"/>
      <c r="L46" s="87"/>
      <c r="M46" s="87"/>
      <c r="N46" s="87"/>
      <c r="O46" s="81"/>
      <c r="P46" s="81"/>
      <c r="Q46" s="82"/>
      <c r="R46" s="83"/>
      <c r="S46" s="83"/>
      <c r="T46" s="81"/>
      <c r="U46" s="81"/>
      <c r="V46" s="81"/>
      <c r="W46" s="81"/>
      <c r="X46" s="82"/>
      <c r="Y46" s="83"/>
      <c r="Z46" s="83"/>
      <c r="AA46" s="83"/>
      <c r="AB46" s="73"/>
      <c r="AC46" s="85"/>
      <c r="AD46" s="85"/>
      <c r="AE46" s="85"/>
      <c r="AF46" s="85"/>
      <c r="AG46" s="85"/>
      <c r="AH46" s="85"/>
      <c r="AI46" s="73"/>
      <c r="AJ46" s="73"/>
      <c r="AK46" s="74"/>
      <c r="AL46" s="75"/>
      <c r="AM46" s="76" t="str">
        <f t="shared" si="2"/>
        <v/>
      </c>
      <c r="AO46" s="77" t="str">
        <f t="array" ref="AO46">INDEX(R_Proy__ObjEsp,MATCH(E46,L_Proy,0))</f>
        <v>#N/A</v>
      </c>
      <c r="AP46" s="78"/>
      <c r="AQ46" s="78"/>
      <c r="AR46" s="79"/>
      <c r="AS46" s="78" t="str">
        <f t="array" ref="AS46">INDEX(R_ObjEsp__Prod,MATCH(H46,L_ObjEsp,0))</f>
        <v>#N/A</v>
      </c>
      <c r="AT46" s="80"/>
      <c r="AU46" s="80"/>
      <c r="AV46" s="80"/>
      <c r="AW46" s="80"/>
      <c r="AX46" s="79"/>
      <c r="AY46" s="78" t="str">
        <f t="array" ref="AY46">INDEX(R_Pro__Act,MATCH(I46,L_Prod,0))</f>
        <v>#N/A</v>
      </c>
      <c r="AZ46" s="80"/>
      <c r="BA46" s="80"/>
      <c r="BB46" s="80"/>
      <c r="BC46" s="80"/>
      <c r="BD46" s="80"/>
      <c r="BE46" s="79"/>
      <c r="BF46" s="79"/>
      <c r="BG46" s="79"/>
      <c r="BH46" s="79"/>
      <c r="BI46" s="79"/>
      <c r="BJ46" s="79"/>
      <c r="BK46" s="79"/>
      <c r="BL46" s="79"/>
      <c r="BM46" s="79"/>
    </row>
    <row r="47" ht="67.5" customHeight="1">
      <c r="A47" s="39"/>
      <c r="B47" s="62">
        <v>45.0</v>
      </c>
      <c r="C47" s="85"/>
      <c r="D47" s="64"/>
      <c r="E47" s="64"/>
      <c r="F47" s="65" t="str">
        <f>IF(ISBLANK(E47),"",VLOOKUP(E47,R_Inf_Proy,2,0))</f>
        <v/>
      </c>
      <c r="G47" s="65" t="str">
        <f>IF(ISBLANK(E47),"",VLOOKUP(E47,R_Inf_Proy,3,0))</f>
        <v/>
      </c>
      <c r="H47" s="86"/>
      <c r="I47" s="86"/>
      <c r="J47" s="86"/>
      <c r="K47" s="66"/>
      <c r="L47" s="87"/>
      <c r="M47" s="87"/>
      <c r="N47" s="87"/>
      <c r="O47" s="81"/>
      <c r="P47" s="81"/>
      <c r="Q47" s="82"/>
      <c r="R47" s="83"/>
      <c r="S47" s="83"/>
      <c r="T47" s="81"/>
      <c r="U47" s="81"/>
      <c r="V47" s="81"/>
      <c r="W47" s="81"/>
      <c r="X47" s="82"/>
      <c r="Y47" s="83"/>
      <c r="Z47" s="83"/>
      <c r="AA47" s="83"/>
      <c r="AB47" s="73"/>
      <c r="AC47" s="85"/>
      <c r="AD47" s="85"/>
      <c r="AE47" s="85"/>
      <c r="AF47" s="85"/>
      <c r="AG47" s="85"/>
      <c r="AH47" s="85"/>
      <c r="AI47" s="73"/>
      <c r="AJ47" s="73"/>
      <c r="AK47" s="74"/>
      <c r="AL47" s="75"/>
      <c r="AM47" s="76" t="str">
        <f t="shared" si="2"/>
        <v/>
      </c>
      <c r="AO47" s="77" t="str">
        <f t="array" ref="AO47">INDEX(R_Proy__ObjEsp,MATCH(E47,L_Proy,0))</f>
        <v>#N/A</v>
      </c>
      <c r="AP47" s="78"/>
      <c r="AQ47" s="78"/>
      <c r="AR47" s="79"/>
      <c r="AS47" s="78" t="str">
        <f t="array" ref="AS47">INDEX(R_ObjEsp__Prod,MATCH(H47,L_ObjEsp,0))</f>
        <v>#N/A</v>
      </c>
      <c r="AT47" s="80"/>
      <c r="AU47" s="80"/>
      <c r="AV47" s="80"/>
      <c r="AW47" s="80"/>
      <c r="AX47" s="79"/>
      <c r="AY47" s="78" t="str">
        <f t="array" ref="AY47">INDEX(R_Pro__Act,MATCH(I47,L_Prod,0))</f>
        <v>#N/A</v>
      </c>
      <c r="AZ47" s="80"/>
      <c r="BA47" s="80"/>
      <c r="BB47" s="80"/>
      <c r="BC47" s="80"/>
      <c r="BD47" s="80"/>
      <c r="BE47" s="79"/>
      <c r="BF47" s="79"/>
      <c r="BG47" s="79"/>
      <c r="BH47" s="79"/>
      <c r="BI47" s="79"/>
      <c r="BJ47" s="79"/>
      <c r="BK47" s="79"/>
      <c r="BL47" s="79"/>
      <c r="BM47" s="79"/>
    </row>
    <row r="48" ht="67.5" customHeight="1">
      <c r="A48" s="39"/>
      <c r="B48" s="62">
        <v>46.0</v>
      </c>
      <c r="C48" s="85"/>
      <c r="D48" s="64"/>
      <c r="E48" s="64"/>
      <c r="F48" s="65" t="str">
        <f>IF(ISBLANK(E48),"",VLOOKUP(E48,R_Inf_Proy,2,0))</f>
        <v/>
      </c>
      <c r="G48" s="65" t="str">
        <f>IF(ISBLANK(E48),"",VLOOKUP(E48,R_Inf_Proy,3,0))</f>
        <v/>
      </c>
      <c r="H48" s="86"/>
      <c r="I48" s="86"/>
      <c r="J48" s="86"/>
      <c r="K48" s="66"/>
      <c r="L48" s="87"/>
      <c r="M48" s="87"/>
      <c r="N48" s="87"/>
      <c r="O48" s="81"/>
      <c r="P48" s="81"/>
      <c r="Q48" s="82"/>
      <c r="R48" s="83"/>
      <c r="S48" s="83"/>
      <c r="T48" s="81"/>
      <c r="U48" s="81"/>
      <c r="V48" s="81"/>
      <c r="W48" s="81"/>
      <c r="X48" s="82"/>
      <c r="Y48" s="83"/>
      <c r="Z48" s="83"/>
      <c r="AA48" s="83"/>
      <c r="AB48" s="73"/>
      <c r="AC48" s="85"/>
      <c r="AD48" s="85"/>
      <c r="AE48" s="85"/>
      <c r="AF48" s="85"/>
      <c r="AG48" s="85"/>
      <c r="AH48" s="85"/>
      <c r="AI48" s="73"/>
      <c r="AJ48" s="73"/>
      <c r="AK48" s="74"/>
      <c r="AL48" s="75"/>
      <c r="AM48" s="76" t="str">
        <f t="shared" si="2"/>
        <v/>
      </c>
      <c r="AO48" s="77" t="str">
        <f t="array" ref="AO48">INDEX(R_Proy__ObjEsp,MATCH(E48,L_Proy,0))</f>
        <v>#N/A</v>
      </c>
      <c r="AP48" s="78"/>
      <c r="AQ48" s="78"/>
      <c r="AR48" s="79"/>
      <c r="AS48" s="78" t="str">
        <f t="array" ref="AS48">INDEX(R_ObjEsp__Prod,MATCH(H48,L_ObjEsp,0))</f>
        <v>#N/A</v>
      </c>
      <c r="AT48" s="80"/>
      <c r="AU48" s="80"/>
      <c r="AV48" s="80"/>
      <c r="AW48" s="80"/>
      <c r="AX48" s="79"/>
      <c r="AY48" s="78" t="str">
        <f t="array" ref="AY48">INDEX(R_Pro__Act,MATCH(I48,L_Prod,0))</f>
        <v>#N/A</v>
      </c>
      <c r="AZ48" s="80"/>
      <c r="BA48" s="80"/>
      <c r="BB48" s="80"/>
      <c r="BC48" s="80"/>
      <c r="BD48" s="80"/>
      <c r="BE48" s="79"/>
      <c r="BF48" s="79"/>
      <c r="BG48" s="79"/>
      <c r="BH48" s="79"/>
      <c r="BI48" s="79"/>
      <c r="BJ48" s="79"/>
      <c r="BK48" s="79"/>
      <c r="BL48" s="79"/>
      <c r="BM48" s="79"/>
    </row>
    <row r="49" ht="67.5" customHeight="1">
      <c r="A49" s="39"/>
      <c r="B49" s="62">
        <v>47.0</v>
      </c>
      <c r="C49" s="85"/>
      <c r="D49" s="64"/>
      <c r="E49" s="64"/>
      <c r="F49" s="65" t="str">
        <f>IF(ISBLANK(E49),"",VLOOKUP(E49,R_Inf_Proy,2,0))</f>
        <v/>
      </c>
      <c r="G49" s="65" t="str">
        <f>IF(ISBLANK(E49),"",VLOOKUP(E49,R_Inf_Proy,3,0))</f>
        <v/>
      </c>
      <c r="H49" s="86"/>
      <c r="I49" s="86"/>
      <c r="J49" s="86"/>
      <c r="K49" s="66"/>
      <c r="L49" s="87"/>
      <c r="M49" s="87"/>
      <c r="N49" s="87"/>
      <c r="O49" s="81"/>
      <c r="P49" s="81"/>
      <c r="Q49" s="82"/>
      <c r="R49" s="83"/>
      <c r="S49" s="83"/>
      <c r="T49" s="81"/>
      <c r="U49" s="81"/>
      <c r="V49" s="81"/>
      <c r="W49" s="81"/>
      <c r="X49" s="82"/>
      <c r="Y49" s="83"/>
      <c r="Z49" s="83"/>
      <c r="AA49" s="83"/>
      <c r="AB49" s="73"/>
      <c r="AC49" s="85"/>
      <c r="AD49" s="85"/>
      <c r="AE49" s="85"/>
      <c r="AF49" s="85"/>
      <c r="AG49" s="85"/>
      <c r="AH49" s="85"/>
      <c r="AI49" s="73"/>
      <c r="AJ49" s="73"/>
      <c r="AK49" s="74"/>
      <c r="AL49" s="75"/>
      <c r="AM49" s="76" t="str">
        <f t="shared" si="2"/>
        <v/>
      </c>
      <c r="AO49" s="77" t="str">
        <f t="array" ref="AO49">INDEX(R_Proy__ObjEsp,MATCH(E49,L_Proy,0))</f>
        <v>#N/A</v>
      </c>
      <c r="AP49" s="78"/>
      <c r="AQ49" s="78"/>
      <c r="AR49" s="79"/>
      <c r="AS49" s="78" t="str">
        <f t="array" ref="AS49">INDEX(R_ObjEsp__Prod,MATCH(H49,L_ObjEsp,0))</f>
        <v>#N/A</v>
      </c>
      <c r="AT49" s="80"/>
      <c r="AU49" s="80"/>
      <c r="AV49" s="80"/>
      <c r="AW49" s="80"/>
      <c r="AX49" s="79"/>
      <c r="AY49" s="78" t="str">
        <f t="array" ref="AY49">INDEX(R_Pro__Act,MATCH(I49,L_Prod,0))</f>
        <v>#N/A</v>
      </c>
      <c r="AZ49" s="80"/>
      <c r="BA49" s="80"/>
      <c r="BB49" s="80"/>
      <c r="BC49" s="80"/>
      <c r="BD49" s="80"/>
      <c r="BE49" s="79"/>
      <c r="BF49" s="79"/>
      <c r="BG49" s="79"/>
      <c r="BH49" s="79"/>
      <c r="BI49" s="79"/>
      <c r="BJ49" s="79"/>
      <c r="BK49" s="79"/>
      <c r="BL49" s="79"/>
      <c r="BM49" s="79"/>
    </row>
    <row r="50" ht="67.5" customHeight="1">
      <c r="A50" s="39"/>
      <c r="B50" s="62">
        <v>48.0</v>
      </c>
      <c r="C50" s="85"/>
      <c r="D50" s="64"/>
      <c r="E50" s="64"/>
      <c r="F50" s="65" t="str">
        <f>IF(ISBLANK(E50),"",VLOOKUP(E50,R_Inf_Proy,2,0))</f>
        <v/>
      </c>
      <c r="G50" s="65" t="str">
        <f>IF(ISBLANK(E50),"",VLOOKUP(E50,R_Inf_Proy,3,0))</f>
        <v/>
      </c>
      <c r="H50" s="86"/>
      <c r="I50" s="86"/>
      <c r="J50" s="86"/>
      <c r="K50" s="66"/>
      <c r="L50" s="87"/>
      <c r="M50" s="87"/>
      <c r="N50" s="87"/>
      <c r="O50" s="81"/>
      <c r="P50" s="81"/>
      <c r="Q50" s="82"/>
      <c r="R50" s="83"/>
      <c r="S50" s="83"/>
      <c r="T50" s="81"/>
      <c r="U50" s="81"/>
      <c r="V50" s="81"/>
      <c r="W50" s="81"/>
      <c r="X50" s="82"/>
      <c r="Y50" s="83"/>
      <c r="Z50" s="83"/>
      <c r="AA50" s="83"/>
      <c r="AB50" s="73"/>
      <c r="AC50" s="85"/>
      <c r="AD50" s="85"/>
      <c r="AE50" s="85"/>
      <c r="AF50" s="85"/>
      <c r="AG50" s="85"/>
      <c r="AH50" s="85"/>
      <c r="AI50" s="73"/>
      <c r="AJ50" s="73"/>
      <c r="AK50" s="74"/>
      <c r="AL50" s="75"/>
      <c r="AM50" s="76" t="str">
        <f t="shared" si="2"/>
        <v/>
      </c>
      <c r="AO50" s="77" t="str">
        <f t="array" ref="AO50">INDEX(R_Proy__ObjEsp,MATCH(E50,L_Proy,0))</f>
        <v>#N/A</v>
      </c>
      <c r="AP50" s="78"/>
      <c r="AQ50" s="78"/>
      <c r="AR50" s="79"/>
      <c r="AS50" s="78" t="str">
        <f t="array" ref="AS50">INDEX(R_ObjEsp__Prod,MATCH(H50,L_ObjEsp,0))</f>
        <v>#N/A</v>
      </c>
      <c r="AT50" s="80"/>
      <c r="AU50" s="80"/>
      <c r="AV50" s="80"/>
      <c r="AW50" s="80"/>
      <c r="AX50" s="79"/>
      <c r="AY50" s="78" t="str">
        <f t="array" ref="AY50">INDEX(R_Pro__Act,MATCH(I50,L_Prod,0))</f>
        <v>#N/A</v>
      </c>
      <c r="AZ50" s="80"/>
      <c r="BA50" s="80"/>
      <c r="BB50" s="80"/>
      <c r="BC50" s="80"/>
      <c r="BD50" s="80"/>
      <c r="BE50" s="79"/>
      <c r="BF50" s="79"/>
      <c r="BG50" s="79"/>
      <c r="BH50" s="79"/>
      <c r="BI50" s="79"/>
      <c r="BJ50" s="79"/>
      <c r="BK50" s="79"/>
      <c r="BL50" s="79"/>
      <c r="BM50" s="79"/>
    </row>
    <row r="51" ht="67.5" customHeight="1">
      <c r="A51" s="39"/>
      <c r="B51" s="62">
        <v>49.0</v>
      </c>
      <c r="C51" s="85"/>
      <c r="D51" s="64"/>
      <c r="E51" s="64"/>
      <c r="F51" s="65" t="str">
        <f>IF(ISBLANK(E51),"",VLOOKUP(E51,R_Inf_Proy,2,0))</f>
        <v/>
      </c>
      <c r="G51" s="65" t="str">
        <f>IF(ISBLANK(E51),"",VLOOKUP(E51,R_Inf_Proy,3,0))</f>
        <v/>
      </c>
      <c r="H51" s="86"/>
      <c r="I51" s="86"/>
      <c r="J51" s="86"/>
      <c r="K51" s="66"/>
      <c r="L51" s="87"/>
      <c r="M51" s="87"/>
      <c r="N51" s="87"/>
      <c r="O51" s="81"/>
      <c r="P51" s="81"/>
      <c r="Q51" s="82"/>
      <c r="R51" s="83"/>
      <c r="S51" s="83"/>
      <c r="T51" s="81"/>
      <c r="U51" s="81"/>
      <c r="V51" s="81"/>
      <c r="W51" s="81"/>
      <c r="X51" s="82"/>
      <c r="Y51" s="83"/>
      <c r="Z51" s="83"/>
      <c r="AA51" s="83"/>
      <c r="AB51" s="73"/>
      <c r="AC51" s="85"/>
      <c r="AD51" s="85"/>
      <c r="AE51" s="85"/>
      <c r="AF51" s="85"/>
      <c r="AG51" s="85"/>
      <c r="AH51" s="85"/>
      <c r="AI51" s="73"/>
      <c r="AJ51" s="73"/>
      <c r="AK51" s="74"/>
      <c r="AL51" s="75"/>
      <c r="AM51" s="76" t="str">
        <f t="shared" si="2"/>
        <v/>
      </c>
      <c r="AO51" s="77" t="str">
        <f t="array" ref="AO51">INDEX(R_Proy__ObjEsp,MATCH(E51,L_Proy,0))</f>
        <v>#N/A</v>
      </c>
      <c r="AP51" s="78"/>
      <c r="AQ51" s="78"/>
      <c r="AR51" s="79"/>
      <c r="AS51" s="78" t="str">
        <f t="array" ref="AS51">INDEX(R_ObjEsp__Prod,MATCH(H51,L_ObjEsp,0))</f>
        <v>#N/A</v>
      </c>
      <c r="AT51" s="80"/>
      <c r="AU51" s="80"/>
      <c r="AV51" s="80"/>
      <c r="AW51" s="80"/>
      <c r="AX51" s="79"/>
      <c r="AY51" s="78" t="str">
        <f t="array" ref="AY51">INDEX(R_Pro__Act,MATCH(I51,L_Prod,0))</f>
        <v>#N/A</v>
      </c>
      <c r="AZ51" s="80"/>
      <c r="BA51" s="80"/>
      <c r="BB51" s="80"/>
      <c r="BC51" s="80"/>
      <c r="BD51" s="80"/>
      <c r="BE51" s="79"/>
      <c r="BF51" s="79"/>
      <c r="BG51" s="79"/>
      <c r="BH51" s="79"/>
      <c r="BI51" s="79"/>
      <c r="BJ51" s="79"/>
      <c r="BK51" s="79"/>
      <c r="BL51" s="79"/>
      <c r="BM51" s="79"/>
    </row>
    <row r="52" ht="67.5" customHeight="1">
      <c r="A52" s="39"/>
      <c r="B52" s="62">
        <v>50.0</v>
      </c>
      <c r="C52" s="85"/>
      <c r="D52" s="64"/>
      <c r="E52" s="64"/>
      <c r="F52" s="65" t="str">
        <f>IF(ISBLANK(E52),"",VLOOKUP(E52,R_Inf_Proy,2,0))</f>
        <v/>
      </c>
      <c r="G52" s="65" t="str">
        <f>IF(ISBLANK(E52),"",VLOOKUP(E52,R_Inf_Proy,3,0))</f>
        <v/>
      </c>
      <c r="H52" s="86"/>
      <c r="I52" s="86"/>
      <c r="J52" s="86"/>
      <c r="K52" s="66"/>
      <c r="L52" s="87"/>
      <c r="M52" s="87"/>
      <c r="N52" s="87"/>
      <c r="O52" s="81"/>
      <c r="P52" s="81"/>
      <c r="Q52" s="82"/>
      <c r="R52" s="83"/>
      <c r="S52" s="83"/>
      <c r="T52" s="81"/>
      <c r="U52" s="81"/>
      <c r="V52" s="81"/>
      <c r="W52" s="81"/>
      <c r="X52" s="82"/>
      <c r="Y52" s="83"/>
      <c r="Z52" s="83"/>
      <c r="AA52" s="83"/>
      <c r="AB52" s="73"/>
      <c r="AC52" s="85"/>
      <c r="AD52" s="85"/>
      <c r="AE52" s="85"/>
      <c r="AF52" s="85"/>
      <c r="AG52" s="85"/>
      <c r="AH52" s="85"/>
      <c r="AI52" s="73"/>
      <c r="AJ52" s="73"/>
      <c r="AK52" s="74"/>
      <c r="AL52" s="75"/>
      <c r="AM52" s="76" t="str">
        <f t="shared" si="2"/>
        <v/>
      </c>
      <c r="AO52" s="77" t="str">
        <f t="array" ref="AO52">INDEX(R_Proy__ObjEsp,MATCH(E52,L_Proy,0))</f>
        <v>#N/A</v>
      </c>
      <c r="AP52" s="78"/>
      <c r="AQ52" s="78"/>
      <c r="AR52" s="79"/>
      <c r="AS52" s="78" t="str">
        <f t="array" ref="AS52">INDEX(R_ObjEsp__Prod,MATCH(H52,L_ObjEsp,0))</f>
        <v>#N/A</v>
      </c>
      <c r="AT52" s="80"/>
      <c r="AU52" s="80"/>
      <c r="AV52" s="80"/>
      <c r="AW52" s="80"/>
      <c r="AX52" s="79"/>
      <c r="AY52" s="78" t="str">
        <f t="array" ref="AY52">INDEX(R_Pro__Act,MATCH(I52,L_Prod,0))</f>
        <v>#N/A</v>
      </c>
      <c r="AZ52" s="80"/>
      <c r="BA52" s="80"/>
      <c r="BB52" s="80"/>
      <c r="BC52" s="80"/>
      <c r="BD52" s="80"/>
      <c r="BE52" s="79"/>
      <c r="BF52" s="79"/>
      <c r="BG52" s="79"/>
      <c r="BH52" s="79"/>
      <c r="BI52" s="79"/>
      <c r="BJ52" s="79"/>
      <c r="BK52" s="79"/>
      <c r="BL52" s="79"/>
      <c r="BM52" s="79"/>
    </row>
    <row r="53" ht="67.5" customHeight="1">
      <c r="A53" s="39"/>
      <c r="B53" s="62">
        <v>51.0</v>
      </c>
      <c r="C53" s="85"/>
      <c r="D53" s="64"/>
      <c r="E53" s="64"/>
      <c r="F53" s="65" t="str">
        <f>IF(ISBLANK(E53),"",VLOOKUP(E53,R_Inf_Proy,2,0))</f>
        <v/>
      </c>
      <c r="G53" s="65" t="str">
        <f>IF(ISBLANK(E53),"",VLOOKUP(E53,R_Inf_Proy,3,0))</f>
        <v/>
      </c>
      <c r="H53" s="86"/>
      <c r="I53" s="86"/>
      <c r="J53" s="86"/>
      <c r="K53" s="66"/>
      <c r="L53" s="87"/>
      <c r="M53" s="87"/>
      <c r="N53" s="87"/>
      <c r="O53" s="81"/>
      <c r="P53" s="81"/>
      <c r="Q53" s="82"/>
      <c r="R53" s="83"/>
      <c r="S53" s="83"/>
      <c r="T53" s="81"/>
      <c r="U53" s="81"/>
      <c r="V53" s="81"/>
      <c r="W53" s="81"/>
      <c r="X53" s="82"/>
      <c r="Y53" s="83"/>
      <c r="Z53" s="83"/>
      <c r="AA53" s="83"/>
      <c r="AB53" s="73"/>
      <c r="AC53" s="85"/>
      <c r="AD53" s="85"/>
      <c r="AE53" s="85"/>
      <c r="AF53" s="85"/>
      <c r="AG53" s="85"/>
      <c r="AH53" s="85"/>
      <c r="AI53" s="73"/>
      <c r="AJ53" s="73"/>
      <c r="AK53" s="74"/>
      <c r="AL53" s="75"/>
      <c r="AM53" s="76" t="str">
        <f t="shared" si="2"/>
        <v/>
      </c>
      <c r="AO53" s="77" t="str">
        <f t="array" ref="AO53">INDEX(R_Proy__ObjEsp,MATCH(E53,L_Proy,0))</f>
        <v>#N/A</v>
      </c>
      <c r="AP53" s="78"/>
      <c r="AQ53" s="78"/>
      <c r="AR53" s="79"/>
      <c r="AS53" s="78" t="str">
        <f t="array" ref="AS53">INDEX(R_ObjEsp__Prod,MATCH(H53,L_ObjEsp,0))</f>
        <v>#N/A</v>
      </c>
      <c r="AT53" s="80"/>
      <c r="AU53" s="80"/>
      <c r="AV53" s="80"/>
      <c r="AW53" s="80"/>
      <c r="AX53" s="79"/>
      <c r="AY53" s="78" t="str">
        <f t="array" ref="AY53">INDEX(R_Pro__Act,MATCH(I53,L_Prod,0))</f>
        <v>#N/A</v>
      </c>
      <c r="AZ53" s="80"/>
      <c r="BA53" s="80"/>
      <c r="BB53" s="80"/>
      <c r="BC53" s="80"/>
      <c r="BD53" s="80"/>
      <c r="BE53" s="79"/>
      <c r="BF53" s="79"/>
      <c r="BG53" s="79"/>
      <c r="BH53" s="79"/>
      <c r="BI53" s="79"/>
      <c r="BJ53" s="79"/>
      <c r="BK53" s="79"/>
      <c r="BL53" s="79"/>
      <c r="BM53" s="79"/>
    </row>
    <row r="54" ht="67.5" customHeight="1">
      <c r="A54" s="39"/>
      <c r="B54" s="62">
        <v>52.0</v>
      </c>
      <c r="C54" s="85"/>
      <c r="D54" s="64"/>
      <c r="E54" s="64"/>
      <c r="F54" s="65" t="str">
        <f>IF(ISBLANK(E54),"",VLOOKUP(E54,R_Inf_Proy,2,0))</f>
        <v/>
      </c>
      <c r="G54" s="65" t="str">
        <f>IF(ISBLANK(E54),"",VLOOKUP(E54,R_Inf_Proy,3,0))</f>
        <v/>
      </c>
      <c r="H54" s="86"/>
      <c r="I54" s="86"/>
      <c r="J54" s="86"/>
      <c r="K54" s="66"/>
      <c r="L54" s="87"/>
      <c r="M54" s="87"/>
      <c r="N54" s="87"/>
      <c r="O54" s="81"/>
      <c r="P54" s="81"/>
      <c r="Q54" s="82"/>
      <c r="R54" s="83"/>
      <c r="S54" s="83"/>
      <c r="T54" s="81"/>
      <c r="U54" s="81"/>
      <c r="V54" s="81"/>
      <c r="W54" s="81"/>
      <c r="X54" s="82"/>
      <c r="Y54" s="83"/>
      <c r="Z54" s="83"/>
      <c r="AA54" s="83"/>
      <c r="AB54" s="73"/>
      <c r="AC54" s="85"/>
      <c r="AD54" s="85"/>
      <c r="AE54" s="85"/>
      <c r="AF54" s="85"/>
      <c r="AG54" s="85"/>
      <c r="AH54" s="85"/>
      <c r="AI54" s="73"/>
      <c r="AJ54" s="73"/>
      <c r="AK54" s="74"/>
      <c r="AL54" s="75"/>
      <c r="AM54" s="76" t="str">
        <f t="shared" si="2"/>
        <v/>
      </c>
      <c r="AO54" s="77" t="str">
        <f t="array" ref="AO54">INDEX(R_Proy__ObjEsp,MATCH(E54,L_Proy,0))</f>
        <v>#N/A</v>
      </c>
      <c r="AP54" s="78"/>
      <c r="AQ54" s="78"/>
      <c r="AR54" s="79"/>
      <c r="AS54" s="78" t="str">
        <f t="array" ref="AS54">INDEX(R_ObjEsp__Prod,MATCH(H54,L_ObjEsp,0))</f>
        <v>#N/A</v>
      </c>
      <c r="AT54" s="80"/>
      <c r="AU54" s="80"/>
      <c r="AV54" s="80"/>
      <c r="AW54" s="80"/>
      <c r="AX54" s="79"/>
      <c r="AY54" s="78" t="str">
        <f t="array" ref="AY54">INDEX(R_Pro__Act,MATCH(I54,L_Prod,0))</f>
        <v>#N/A</v>
      </c>
      <c r="AZ54" s="80"/>
      <c r="BA54" s="80"/>
      <c r="BB54" s="80"/>
      <c r="BC54" s="80"/>
      <c r="BD54" s="80"/>
      <c r="BE54" s="79"/>
      <c r="BF54" s="79"/>
      <c r="BG54" s="79"/>
      <c r="BH54" s="79"/>
      <c r="BI54" s="79"/>
      <c r="BJ54" s="79"/>
      <c r="BK54" s="79"/>
      <c r="BL54" s="79"/>
      <c r="BM54" s="79"/>
    </row>
    <row r="55" ht="67.5" customHeight="1">
      <c r="A55" s="39"/>
      <c r="B55" s="62">
        <v>53.0</v>
      </c>
      <c r="C55" s="85"/>
      <c r="D55" s="64"/>
      <c r="E55" s="64"/>
      <c r="F55" s="65" t="str">
        <f>IF(ISBLANK(E55),"",VLOOKUP(E55,R_Inf_Proy,2,0))</f>
        <v/>
      </c>
      <c r="G55" s="65" t="str">
        <f>IF(ISBLANK(E55),"",VLOOKUP(E55,R_Inf_Proy,3,0))</f>
        <v/>
      </c>
      <c r="H55" s="86"/>
      <c r="I55" s="86"/>
      <c r="J55" s="86"/>
      <c r="K55" s="66"/>
      <c r="L55" s="87"/>
      <c r="M55" s="87"/>
      <c r="N55" s="87"/>
      <c r="O55" s="81"/>
      <c r="P55" s="81"/>
      <c r="Q55" s="82"/>
      <c r="R55" s="83"/>
      <c r="S55" s="83"/>
      <c r="T55" s="81"/>
      <c r="U55" s="81"/>
      <c r="V55" s="81"/>
      <c r="W55" s="81"/>
      <c r="X55" s="82"/>
      <c r="Y55" s="83"/>
      <c r="Z55" s="83"/>
      <c r="AA55" s="83"/>
      <c r="AB55" s="73"/>
      <c r="AC55" s="85"/>
      <c r="AD55" s="85"/>
      <c r="AE55" s="85"/>
      <c r="AF55" s="85"/>
      <c r="AG55" s="85"/>
      <c r="AH55" s="85"/>
      <c r="AI55" s="73"/>
      <c r="AJ55" s="73"/>
      <c r="AK55" s="74"/>
      <c r="AL55" s="75"/>
      <c r="AM55" s="76" t="str">
        <f t="shared" si="2"/>
        <v/>
      </c>
      <c r="AO55" s="77" t="str">
        <f t="array" ref="AO55">INDEX(R_Proy__ObjEsp,MATCH(E55,L_Proy,0))</f>
        <v>#N/A</v>
      </c>
      <c r="AP55" s="78"/>
      <c r="AQ55" s="78"/>
      <c r="AR55" s="79"/>
      <c r="AS55" s="78" t="str">
        <f t="array" ref="AS55">INDEX(R_ObjEsp__Prod,MATCH(H55,L_ObjEsp,0))</f>
        <v>#N/A</v>
      </c>
      <c r="AT55" s="80"/>
      <c r="AU55" s="80"/>
      <c r="AV55" s="80"/>
      <c r="AW55" s="80"/>
      <c r="AX55" s="79"/>
      <c r="AY55" s="78" t="str">
        <f t="array" ref="AY55">INDEX(R_Pro__Act,MATCH(I55,L_Prod,0))</f>
        <v>#N/A</v>
      </c>
      <c r="AZ55" s="80"/>
      <c r="BA55" s="80"/>
      <c r="BB55" s="80"/>
      <c r="BC55" s="80"/>
      <c r="BD55" s="80"/>
      <c r="BE55" s="79"/>
      <c r="BF55" s="79"/>
      <c r="BG55" s="79"/>
      <c r="BH55" s="79"/>
      <c r="BI55" s="79"/>
      <c r="BJ55" s="79"/>
      <c r="BK55" s="79"/>
      <c r="BL55" s="79"/>
      <c r="BM55" s="79"/>
    </row>
    <row r="56" ht="67.5" customHeight="1">
      <c r="A56" s="39"/>
      <c r="B56" s="62">
        <v>54.0</v>
      </c>
      <c r="C56" s="85"/>
      <c r="D56" s="64"/>
      <c r="E56" s="64"/>
      <c r="F56" s="65" t="str">
        <f>IF(ISBLANK(E56),"",VLOOKUP(E56,R_Inf_Proy,2,0))</f>
        <v/>
      </c>
      <c r="G56" s="65" t="str">
        <f>IF(ISBLANK(E56),"",VLOOKUP(E56,R_Inf_Proy,3,0))</f>
        <v/>
      </c>
      <c r="H56" s="86"/>
      <c r="I56" s="86"/>
      <c r="J56" s="86"/>
      <c r="K56" s="66"/>
      <c r="L56" s="87"/>
      <c r="M56" s="87"/>
      <c r="N56" s="87"/>
      <c r="O56" s="81"/>
      <c r="P56" s="81"/>
      <c r="Q56" s="82"/>
      <c r="R56" s="83"/>
      <c r="S56" s="83"/>
      <c r="T56" s="81"/>
      <c r="U56" s="81"/>
      <c r="V56" s="81"/>
      <c r="W56" s="81"/>
      <c r="X56" s="82"/>
      <c r="Y56" s="83"/>
      <c r="Z56" s="83"/>
      <c r="AA56" s="83"/>
      <c r="AB56" s="73"/>
      <c r="AC56" s="85"/>
      <c r="AD56" s="85"/>
      <c r="AE56" s="85"/>
      <c r="AF56" s="85"/>
      <c r="AG56" s="85"/>
      <c r="AH56" s="85"/>
      <c r="AI56" s="73"/>
      <c r="AJ56" s="73"/>
      <c r="AK56" s="74"/>
      <c r="AL56" s="75"/>
      <c r="AM56" s="76" t="str">
        <f t="shared" si="2"/>
        <v/>
      </c>
      <c r="AO56" s="77" t="str">
        <f t="array" ref="AO56">INDEX(R_Proy__ObjEsp,MATCH(E56,L_Proy,0))</f>
        <v>#N/A</v>
      </c>
      <c r="AP56" s="78"/>
      <c r="AQ56" s="78"/>
      <c r="AR56" s="79"/>
      <c r="AS56" s="78" t="str">
        <f t="array" ref="AS56">INDEX(R_ObjEsp__Prod,MATCH(H56,L_ObjEsp,0))</f>
        <v>#N/A</v>
      </c>
      <c r="AT56" s="80"/>
      <c r="AU56" s="80"/>
      <c r="AV56" s="80"/>
      <c r="AW56" s="80"/>
      <c r="AX56" s="79"/>
      <c r="AY56" s="78" t="str">
        <f t="array" ref="AY56">INDEX(R_Pro__Act,MATCH(I56,L_Prod,0))</f>
        <v>#N/A</v>
      </c>
      <c r="AZ56" s="80"/>
      <c r="BA56" s="80"/>
      <c r="BB56" s="80"/>
      <c r="BC56" s="80"/>
      <c r="BD56" s="80"/>
      <c r="BE56" s="79"/>
      <c r="BF56" s="79"/>
      <c r="BG56" s="79"/>
      <c r="BH56" s="79"/>
      <c r="BI56" s="79"/>
      <c r="BJ56" s="79"/>
      <c r="BK56" s="79"/>
      <c r="BL56" s="79"/>
      <c r="BM56" s="79"/>
    </row>
    <row r="57" ht="67.5" customHeight="1">
      <c r="A57" s="39"/>
      <c r="B57" s="62">
        <v>55.0</v>
      </c>
      <c r="C57" s="85"/>
      <c r="D57" s="64"/>
      <c r="E57" s="64"/>
      <c r="F57" s="65" t="str">
        <f>IF(ISBLANK(E57),"",VLOOKUP(E57,R_Inf_Proy,2,0))</f>
        <v/>
      </c>
      <c r="G57" s="65" t="str">
        <f>IF(ISBLANK(E57),"",VLOOKUP(E57,R_Inf_Proy,3,0))</f>
        <v/>
      </c>
      <c r="H57" s="86"/>
      <c r="I57" s="86"/>
      <c r="J57" s="86"/>
      <c r="K57" s="66"/>
      <c r="L57" s="87"/>
      <c r="M57" s="87"/>
      <c r="N57" s="87"/>
      <c r="O57" s="81"/>
      <c r="P57" s="81"/>
      <c r="Q57" s="82"/>
      <c r="R57" s="83"/>
      <c r="S57" s="83"/>
      <c r="T57" s="81"/>
      <c r="U57" s="81"/>
      <c r="V57" s="81"/>
      <c r="W57" s="81"/>
      <c r="X57" s="82"/>
      <c r="Y57" s="83"/>
      <c r="Z57" s="83"/>
      <c r="AA57" s="83"/>
      <c r="AB57" s="73"/>
      <c r="AC57" s="85"/>
      <c r="AD57" s="85"/>
      <c r="AE57" s="85"/>
      <c r="AF57" s="85"/>
      <c r="AG57" s="85"/>
      <c r="AH57" s="85"/>
      <c r="AI57" s="73"/>
      <c r="AJ57" s="73"/>
      <c r="AK57" s="74"/>
      <c r="AL57" s="75"/>
      <c r="AM57" s="76" t="str">
        <f t="shared" si="2"/>
        <v/>
      </c>
      <c r="AO57" s="77" t="str">
        <f t="array" ref="AO57">INDEX(R_Proy__ObjEsp,MATCH(E57,L_Proy,0))</f>
        <v>#N/A</v>
      </c>
      <c r="AP57" s="78"/>
      <c r="AQ57" s="78"/>
      <c r="AR57" s="79"/>
      <c r="AS57" s="78" t="str">
        <f t="array" ref="AS57">INDEX(R_ObjEsp__Prod,MATCH(H57,L_ObjEsp,0))</f>
        <v>#N/A</v>
      </c>
      <c r="AT57" s="80"/>
      <c r="AU57" s="80"/>
      <c r="AV57" s="80"/>
      <c r="AW57" s="80"/>
      <c r="AX57" s="79"/>
      <c r="AY57" s="78" t="str">
        <f t="array" ref="AY57">INDEX(R_Pro__Act,MATCH(I57,L_Prod,0))</f>
        <v>#N/A</v>
      </c>
      <c r="AZ57" s="80"/>
      <c r="BA57" s="80"/>
      <c r="BB57" s="80"/>
      <c r="BC57" s="80"/>
      <c r="BD57" s="80"/>
      <c r="BE57" s="79"/>
      <c r="BF57" s="79"/>
      <c r="BG57" s="79"/>
      <c r="BH57" s="79"/>
      <c r="BI57" s="79"/>
      <c r="BJ57" s="79"/>
      <c r="BK57" s="79"/>
      <c r="BL57" s="79"/>
      <c r="BM57" s="79"/>
    </row>
    <row r="58" ht="67.5" customHeight="1">
      <c r="A58" s="39"/>
      <c r="B58" s="62">
        <v>56.0</v>
      </c>
      <c r="C58" s="85"/>
      <c r="D58" s="64"/>
      <c r="E58" s="64"/>
      <c r="F58" s="65" t="str">
        <f>IF(ISBLANK(E58),"",VLOOKUP(E58,R_Inf_Proy,2,0))</f>
        <v/>
      </c>
      <c r="G58" s="65" t="str">
        <f>IF(ISBLANK(E58),"",VLOOKUP(E58,R_Inf_Proy,3,0))</f>
        <v/>
      </c>
      <c r="H58" s="86"/>
      <c r="I58" s="86"/>
      <c r="J58" s="86"/>
      <c r="K58" s="66"/>
      <c r="L58" s="87"/>
      <c r="M58" s="87"/>
      <c r="N58" s="87"/>
      <c r="O58" s="81"/>
      <c r="P58" s="81"/>
      <c r="Q58" s="82"/>
      <c r="R58" s="83"/>
      <c r="S58" s="83"/>
      <c r="T58" s="81"/>
      <c r="U58" s="81"/>
      <c r="V58" s="81"/>
      <c r="W58" s="81"/>
      <c r="X58" s="82"/>
      <c r="Y58" s="83"/>
      <c r="Z58" s="83"/>
      <c r="AA58" s="83"/>
      <c r="AB58" s="73"/>
      <c r="AC58" s="85"/>
      <c r="AD58" s="85"/>
      <c r="AE58" s="85"/>
      <c r="AF58" s="85"/>
      <c r="AG58" s="85"/>
      <c r="AH58" s="85"/>
      <c r="AI58" s="73"/>
      <c r="AJ58" s="73"/>
      <c r="AK58" s="74"/>
      <c r="AL58" s="75"/>
      <c r="AM58" s="76" t="str">
        <f t="shared" si="2"/>
        <v/>
      </c>
      <c r="AO58" s="77" t="str">
        <f t="array" ref="AO58">INDEX(R_Proy__ObjEsp,MATCH(E58,L_Proy,0))</f>
        <v>#N/A</v>
      </c>
      <c r="AP58" s="78"/>
      <c r="AQ58" s="78"/>
      <c r="AR58" s="79"/>
      <c r="AS58" s="78" t="str">
        <f t="array" ref="AS58">INDEX(R_ObjEsp__Prod,MATCH(H58,L_ObjEsp,0))</f>
        <v>#N/A</v>
      </c>
      <c r="AT58" s="80"/>
      <c r="AU58" s="80"/>
      <c r="AV58" s="80"/>
      <c r="AW58" s="80"/>
      <c r="AX58" s="79"/>
      <c r="AY58" s="78" t="str">
        <f t="array" ref="AY58">INDEX(R_Pro__Act,MATCH(I58,L_Prod,0))</f>
        <v>#N/A</v>
      </c>
      <c r="AZ58" s="80"/>
      <c r="BA58" s="80"/>
      <c r="BB58" s="80"/>
      <c r="BC58" s="80"/>
      <c r="BD58" s="80"/>
      <c r="BE58" s="79"/>
      <c r="BF58" s="79"/>
      <c r="BG58" s="79"/>
      <c r="BH58" s="79"/>
      <c r="BI58" s="79"/>
      <c r="BJ58" s="79"/>
      <c r="BK58" s="79"/>
      <c r="BL58" s="79"/>
      <c r="BM58" s="79"/>
    </row>
    <row r="59" ht="67.5" customHeight="1">
      <c r="A59" s="39"/>
      <c r="B59" s="62">
        <v>57.0</v>
      </c>
      <c r="C59" s="85"/>
      <c r="D59" s="64"/>
      <c r="E59" s="64"/>
      <c r="F59" s="65" t="str">
        <f>IF(ISBLANK(E59),"",VLOOKUP(E59,R_Inf_Proy,2,0))</f>
        <v/>
      </c>
      <c r="G59" s="65" t="str">
        <f>IF(ISBLANK(E59),"",VLOOKUP(E59,R_Inf_Proy,3,0))</f>
        <v/>
      </c>
      <c r="H59" s="86"/>
      <c r="I59" s="86"/>
      <c r="J59" s="86"/>
      <c r="K59" s="66"/>
      <c r="L59" s="87"/>
      <c r="M59" s="87"/>
      <c r="N59" s="87"/>
      <c r="O59" s="81"/>
      <c r="P59" s="81"/>
      <c r="Q59" s="82"/>
      <c r="R59" s="83"/>
      <c r="S59" s="83"/>
      <c r="T59" s="81"/>
      <c r="U59" s="81"/>
      <c r="V59" s="81"/>
      <c r="W59" s="81"/>
      <c r="X59" s="82"/>
      <c r="Y59" s="83"/>
      <c r="Z59" s="83"/>
      <c r="AA59" s="83"/>
      <c r="AB59" s="73"/>
      <c r="AC59" s="85"/>
      <c r="AD59" s="85"/>
      <c r="AE59" s="85"/>
      <c r="AF59" s="85"/>
      <c r="AG59" s="85"/>
      <c r="AH59" s="85"/>
      <c r="AI59" s="73"/>
      <c r="AJ59" s="73"/>
      <c r="AK59" s="74"/>
      <c r="AL59" s="75"/>
      <c r="AM59" s="76" t="str">
        <f t="shared" si="2"/>
        <v/>
      </c>
      <c r="AO59" s="77" t="str">
        <f t="array" ref="AO59">INDEX(R_Proy__ObjEsp,MATCH(E59,L_Proy,0))</f>
        <v>#N/A</v>
      </c>
      <c r="AP59" s="78"/>
      <c r="AQ59" s="78"/>
      <c r="AR59" s="79"/>
      <c r="AS59" s="78" t="str">
        <f t="array" ref="AS59">INDEX(R_ObjEsp__Prod,MATCH(H59,L_ObjEsp,0))</f>
        <v>#N/A</v>
      </c>
      <c r="AT59" s="80"/>
      <c r="AU59" s="80"/>
      <c r="AV59" s="80"/>
      <c r="AW59" s="80"/>
      <c r="AX59" s="79"/>
      <c r="AY59" s="78" t="str">
        <f t="array" ref="AY59">INDEX(R_Pro__Act,MATCH(I59,L_Prod,0))</f>
        <v>#N/A</v>
      </c>
      <c r="AZ59" s="80"/>
      <c r="BA59" s="80"/>
      <c r="BB59" s="80"/>
      <c r="BC59" s="80"/>
      <c r="BD59" s="80"/>
      <c r="BE59" s="79"/>
      <c r="BF59" s="79"/>
      <c r="BG59" s="79"/>
      <c r="BH59" s="79"/>
      <c r="BI59" s="79"/>
      <c r="BJ59" s="79"/>
      <c r="BK59" s="79"/>
      <c r="BL59" s="79"/>
      <c r="BM59" s="79"/>
    </row>
    <row r="60" ht="67.5" customHeight="1">
      <c r="A60" s="39"/>
      <c r="B60" s="62">
        <v>58.0</v>
      </c>
      <c r="C60" s="85"/>
      <c r="D60" s="64"/>
      <c r="E60" s="64"/>
      <c r="F60" s="65" t="str">
        <f>IF(ISBLANK(E60),"",VLOOKUP(E60,R_Inf_Proy,2,0))</f>
        <v/>
      </c>
      <c r="G60" s="65" t="str">
        <f>IF(ISBLANK(E60),"",VLOOKUP(E60,R_Inf_Proy,3,0))</f>
        <v/>
      </c>
      <c r="H60" s="86"/>
      <c r="I60" s="86"/>
      <c r="J60" s="86"/>
      <c r="K60" s="66"/>
      <c r="L60" s="87"/>
      <c r="M60" s="87"/>
      <c r="N60" s="87"/>
      <c r="O60" s="81"/>
      <c r="P60" s="81"/>
      <c r="Q60" s="82"/>
      <c r="R60" s="83"/>
      <c r="S60" s="83"/>
      <c r="T60" s="81"/>
      <c r="U60" s="81"/>
      <c r="V60" s="81"/>
      <c r="W60" s="81"/>
      <c r="X60" s="82"/>
      <c r="Y60" s="83"/>
      <c r="Z60" s="83"/>
      <c r="AA60" s="83"/>
      <c r="AB60" s="73"/>
      <c r="AC60" s="85"/>
      <c r="AD60" s="85"/>
      <c r="AE60" s="85"/>
      <c r="AF60" s="85"/>
      <c r="AG60" s="85"/>
      <c r="AH60" s="85"/>
      <c r="AI60" s="73"/>
      <c r="AJ60" s="73"/>
      <c r="AK60" s="74"/>
      <c r="AL60" s="75"/>
      <c r="AM60" s="76" t="str">
        <f t="shared" si="2"/>
        <v/>
      </c>
      <c r="AO60" s="77" t="str">
        <f t="array" ref="AO60">INDEX(R_Proy__ObjEsp,MATCH(E60,L_Proy,0))</f>
        <v>#N/A</v>
      </c>
      <c r="AP60" s="78"/>
      <c r="AQ60" s="78"/>
      <c r="AR60" s="79"/>
      <c r="AS60" s="78" t="str">
        <f t="array" ref="AS60">INDEX(R_ObjEsp__Prod,MATCH(H60,L_ObjEsp,0))</f>
        <v>#N/A</v>
      </c>
      <c r="AT60" s="80"/>
      <c r="AU60" s="80"/>
      <c r="AV60" s="80"/>
      <c r="AW60" s="80"/>
      <c r="AX60" s="79"/>
      <c r="AY60" s="78" t="str">
        <f t="array" ref="AY60">INDEX(R_Pro__Act,MATCH(I60,L_Prod,0))</f>
        <v>#N/A</v>
      </c>
      <c r="AZ60" s="80"/>
      <c r="BA60" s="80"/>
      <c r="BB60" s="80"/>
      <c r="BC60" s="80"/>
      <c r="BD60" s="80"/>
      <c r="BE60" s="79"/>
      <c r="BF60" s="79"/>
      <c r="BG60" s="79"/>
      <c r="BH60" s="79"/>
      <c r="BI60" s="79"/>
      <c r="BJ60" s="79"/>
      <c r="BK60" s="79"/>
      <c r="BL60" s="79"/>
      <c r="BM60" s="79"/>
    </row>
    <row r="61" ht="67.5" customHeight="1">
      <c r="A61" s="39"/>
      <c r="B61" s="62">
        <v>59.0</v>
      </c>
      <c r="C61" s="85"/>
      <c r="D61" s="64"/>
      <c r="E61" s="64"/>
      <c r="F61" s="65" t="str">
        <f>IF(ISBLANK(E61),"",VLOOKUP(E61,R_Inf_Proy,2,0))</f>
        <v/>
      </c>
      <c r="G61" s="65" t="str">
        <f>IF(ISBLANK(E61),"",VLOOKUP(E61,R_Inf_Proy,3,0))</f>
        <v/>
      </c>
      <c r="H61" s="86"/>
      <c r="I61" s="86"/>
      <c r="J61" s="86"/>
      <c r="K61" s="66"/>
      <c r="L61" s="87"/>
      <c r="M61" s="87"/>
      <c r="N61" s="87"/>
      <c r="O61" s="81"/>
      <c r="P61" s="81"/>
      <c r="Q61" s="82"/>
      <c r="R61" s="83"/>
      <c r="S61" s="83"/>
      <c r="T61" s="81"/>
      <c r="U61" s="81"/>
      <c r="V61" s="81"/>
      <c r="W61" s="81"/>
      <c r="X61" s="82"/>
      <c r="Y61" s="83"/>
      <c r="Z61" s="83"/>
      <c r="AA61" s="83"/>
      <c r="AB61" s="73"/>
      <c r="AC61" s="85"/>
      <c r="AD61" s="85"/>
      <c r="AE61" s="85"/>
      <c r="AF61" s="85"/>
      <c r="AG61" s="85"/>
      <c r="AH61" s="85"/>
      <c r="AI61" s="73"/>
      <c r="AJ61" s="73"/>
      <c r="AK61" s="74"/>
      <c r="AL61" s="75"/>
      <c r="AM61" s="76" t="str">
        <f t="shared" si="2"/>
        <v/>
      </c>
      <c r="AO61" s="77" t="str">
        <f t="array" ref="AO61">INDEX(R_Proy__ObjEsp,MATCH(E61,L_Proy,0))</f>
        <v>#N/A</v>
      </c>
      <c r="AP61" s="78"/>
      <c r="AQ61" s="78"/>
      <c r="AR61" s="79"/>
      <c r="AS61" s="78" t="str">
        <f t="array" ref="AS61">INDEX(R_ObjEsp__Prod,MATCH(H61,L_ObjEsp,0))</f>
        <v>#N/A</v>
      </c>
      <c r="AT61" s="80"/>
      <c r="AU61" s="80"/>
      <c r="AV61" s="80"/>
      <c r="AW61" s="80"/>
      <c r="AX61" s="79"/>
      <c r="AY61" s="78" t="str">
        <f t="array" ref="AY61">INDEX(R_Pro__Act,MATCH(I61,L_Prod,0))</f>
        <v>#N/A</v>
      </c>
      <c r="AZ61" s="80"/>
      <c r="BA61" s="80"/>
      <c r="BB61" s="80"/>
      <c r="BC61" s="80"/>
      <c r="BD61" s="80"/>
      <c r="BE61" s="79"/>
      <c r="BF61" s="79"/>
      <c r="BG61" s="79"/>
      <c r="BH61" s="79"/>
      <c r="BI61" s="79"/>
      <c r="BJ61" s="79"/>
      <c r="BK61" s="79"/>
      <c r="BL61" s="79"/>
      <c r="BM61" s="79"/>
    </row>
    <row r="62" ht="67.5" customHeight="1">
      <c r="A62" s="39"/>
      <c r="B62" s="62">
        <v>60.0</v>
      </c>
      <c r="C62" s="85"/>
      <c r="D62" s="64"/>
      <c r="E62" s="64"/>
      <c r="F62" s="65" t="str">
        <f>IF(ISBLANK(E62),"",VLOOKUP(E62,R_Inf_Proy,2,0))</f>
        <v/>
      </c>
      <c r="G62" s="65" t="str">
        <f>IF(ISBLANK(E62),"",VLOOKUP(E62,R_Inf_Proy,3,0))</f>
        <v/>
      </c>
      <c r="H62" s="86"/>
      <c r="I62" s="86"/>
      <c r="J62" s="86"/>
      <c r="K62" s="66"/>
      <c r="L62" s="87"/>
      <c r="M62" s="87"/>
      <c r="N62" s="87"/>
      <c r="O62" s="81"/>
      <c r="P62" s="81"/>
      <c r="Q62" s="82"/>
      <c r="R62" s="83"/>
      <c r="S62" s="83"/>
      <c r="T62" s="81"/>
      <c r="U62" s="81"/>
      <c r="V62" s="81"/>
      <c r="W62" s="81"/>
      <c r="X62" s="82"/>
      <c r="Y62" s="83"/>
      <c r="Z62" s="83"/>
      <c r="AA62" s="83"/>
      <c r="AB62" s="73"/>
      <c r="AC62" s="85"/>
      <c r="AD62" s="85"/>
      <c r="AE62" s="85"/>
      <c r="AF62" s="85"/>
      <c r="AG62" s="85"/>
      <c r="AH62" s="85"/>
      <c r="AI62" s="73"/>
      <c r="AJ62" s="73"/>
      <c r="AK62" s="74"/>
      <c r="AL62" s="75"/>
      <c r="AM62" s="76" t="str">
        <f t="shared" si="2"/>
        <v/>
      </c>
      <c r="AO62" s="77" t="str">
        <f t="array" ref="AO62">INDEX(R_Proy__ObjEsp,MATCH(E62,L_Proy,0))</f>
        <v>#N/A</v>
      </c>
      <c r="AP62" s="78"/>
      <c r="AQ62" s="78"/>
      <c r="AR62" s="79"/>
      <c r="AS62" s="78" t="str">
        <f t="array" ref="AS62">INDEX(R_ObjEsp__Prod,MATCH(H62,L_ObjEsp,0))</f>
        <v>#N/A</v>
      </c>
      <c r="AT62" s="80"/>
      <c r="AU62" s="80"/>
      <c r="AV62" s="80"/>
      <c r="AW62" s="80"/>
      <c r="AX62" s="79"/>
      <c r="AY62" s="78" t="str">
        <f t="array" ref="AY62">INDEX(R_Pro__Act,MATCH(I62,L_Prod,0))</f>
        <v>#N/A</v>
      </c>
      <c r="AZ62" s="80"/>
      <c r="BA62" s="80"/>
      <c r="BB62" s="80"/>
      <c r="BC62" s="80"/>
      <c r="BD62" s="80"/>
      <c r="BE62" s="79"/>
      <c r="BF62" s="79"/>
      <c r="BG62" s="79"/>
      <c r="BH62" s="79"/>
      <c r="BI62" s="79"/>
      <c r="BJ62" s="79"/>
      <c r="BK62" s="79"/>
      <c r="BL62" s="79"/>
      <c r="BM62" s="79"/>
    </row>
    <row r="63" ht="67.5" customHeight="1">
      <c r="A63" s="39"/>
      <c r="B63" s="62">
        <v>61.0</v>
      </c>
      <c r="C63" s="85"/>
      <c r="D63" s="64"/>
      <c r="E63" s="64"/>
      <c r="F63" s="65" t="str">
        <f>IF(ISBLANK(E63),"",VLOOKUP(E63,R_Inf_Proy,2,0))</f>
        <v/>
      </c>
      <c r="G63" s="65" t="str">
        <f>IF(ISBLANK(E63),"",VLOOKUP(E63,R_Inf_Proy,3,0))</f>
        <v/>
      </c>
      <c r="H63" s="86"/>
      <c r="I63" s="86"/>
      <c r="J63" s="86"/>
      <c r="K63" s="66"/>
      <c r="L63" s="87"/>
      <c r="M63" s="87"/>
      <c r="N63" s="87"/>
      <c r="O63" s="81"/>
      <c r="P63" s="81"/>
      <c r="Q63" s="82"/>
      <c r="R63" s="83"/>
      <c r="S63" s="83"/>
      <c r="T63" s="81"/>
      <c r="U63" s="81"/>
      <c r="V63" s="81"/>
      <c r="W63" s="81"/>
      <c r="X63" s="82"/>
      <c r="Y63" s="83"/>
      <c r="Z63" s="83"/>
      <c r="AA63" s="83"/>
      <c r="AB63" s="73"/>
      <c r="AC63" s="85"/>
      <c r="AD63" s="85"/>
      <c r="AE63" s="85"/>
      <c r="AF63" s="85"/>
      <c r="AG63" s="85"/>
      <c r="AH63" s="85"/>
      <c r="AI63" s="73"/>
      <c r="AJ63" s="73"/>
      <c r="AK63" s="74"/>
      <c r="AL63" s="75"/>
      <c r="AM63" s="76" t="str">
        <f t="shared" si="2"/>
        <v/>
      </c>
      <c r="AO63" s="77" t="str">
        <f t="array" ref="AO63">INDEX(R_Proy__ObjEsp,MATCH(E63,L_Proy,0))</f>
        <v>#N/A</v>
      </c>
      <c r="AP63" s="78"/>
      <c r="AQ63" s="78"/>
      <c r="AR63" s="79"/>
      <c r="AS63" s="78" t="str">
        <f t="array" ref="AS63">INDEX(R_ObjEsp__Prod,MATCH(H63,L_ObjEsp,0))</f>
        <v>#N/A</v>
      </c>
      <c r="AT63" s="80"/>
      <c r="AU63" s="80"/>
      <c r="AV63" s="80"/>
      <c r="AW63" s="80"/>
      <c r="AX63" s="79"/>
      <c r="AY63" s="78" t="str">
        <f t="array" ref="AY63">INDEX(R_Pro__Act,MATCH(I63,L_Prod,0))</f>
        <v>#N/A</v>
      </c>
      <c r="AZ63" s="80"/>
      <c r="BA63" s="80"/>
      <c r="BB63" s="80"/>
      <c r="BC63" s="80"/>
      <c r="BD63" s="80"/>
      <c r="BE63" s="79"/>
      <c r="BF63" s="79"/>
      <c r="BG63" s="79"/>
      <c r="BH63" s="79"/>
      <c r="BI63" s="79"/>
      <c r="BJ63" s="79"/>
      <c r="BK63" s="79"/>
      <c r="BL63" s="79"/>
      <c r="BM63" s="79"/>
    </row>
    <row r="64" ht="67.5" customHeight="1">
      <c r="A64" s="39"/>
      <c r="B64" s="62">
        <v>62.0</v>
      </c>
      <c r="C64" s="85"/>
      <c r="D64" s="64"/>
      <c r="E64" s="64"/>
      <c r="F64" s="65" t="str">
        <f>IF(ISBLANK(E64),"",VLOOKUP(E64,R_Inf_Proy,2,0))</f>
        <v/>
      </c>
      <c r="G64" s="65" t="str">
        <f>IF(ISBLANK(E64),"",VLOOKUP(E64,R_Inf_Proy,3,0))</f>
        <v/>
      </c>
      <c r="H64" s="86"/>
      <c r="I64" s="86"/>
      <c r="J64" s="86"/>
      <c r="K64" s="66"/>
      <c r="L64" s="87"/>
      <c r="M64" s="87"/>
      <c r="N64" s="87"/>
      <c r="O64" s="81"/>
      <c r="P64" s="81"/>
      <c r="Q64" s="82"/>
      <c r="R64" s="83"/>
      <c r="S64" s="83"/>
      <c r="T64" s="81"/>
      <c r="U64" s="81"/>
      <c r="V64" s="81"/>
      <c r="W64" s="81"/>
      <c r="X64" s="82"/>
      <c r="Y64" s="83"/>
      <c r="Z64" s="83"/>
      <c r="AA64" s="83"/>
      <c r="AB64" s="73"/>
      <c r="AC64" s="85"/>
      <c r="AD64" s="85"/>
      <c r="AE64" s="85"/>
      <c r="AF64" s="85"/>
      <c r="AG64" s="85"/>
      <c r="AH64" s="85"/>
      <c r="AI64" s="73"/>
      <c r="AJ64" s="73"/>
      <c r="AK64" s="74"/>
      <c r="AL64" s="75"/>
      <c r="AM64" s="76" t="str">
        <f t="shared" si="2"/>
        <v/>
      </c>
      <c r="AO64" s="77" t="str">
        <f t="array" ref="AO64">INDEX(R_Proy__ObjEsp,MATCH(E64,L_Proy,0))</f>
        <v>#N/A</v>
      </c>
      <c r="AP64" s="78"/>
      <c r="AQ64" s="78"/>
      <c r="AR64" s="79"/>
      <c r="AS64" s="78" t="str">
        <f t="array" ref="AS64">INDEX(R_ObjEsp__Prod,MATCH(H64,L_ObjEsp,0))</f>
        <v>#N/A</v>
      </c>
      <c r="AT64" s="80"/>
      <c r="AU64" s="80"/>
      <c r="AV64" s="80"/>
      <c r="AW64" s="80"/>
      <c r="AX64" s="79"/>
      <c r="AY64" s="78" t="str">
        <f t="array" ref="AY64">INDEX(R_Pro__Act,MATCH(I64,L_Prod,0))</f>
        <v>#N/A</v>
      </c>
      <c r="AZ64" s="80"/>
      <c r="BA64" s="80"/>
      <c r="BB64" s="80"/>
      <c r="BC64" s="80"/>
      <c r="BD64" s="80"/>
      <c r="BE64" s="79"/>
      <c r="BF64" s="79"/>
      <c r="BG64" s="79"/>
      <c r="BH64" s="79"/>
      <c r="BI64" s="79"/>
      <c r="BJ64" s="79"/>
      <c r="BK64" s="79"/>
      <c r="BL64" s="79"/>
      <c r="BM64" s="79"/>
    </row>
    <row r="65" ht="67.5" customHeight="1">
      <c r="A65" s="39"/>
      <c r="B65" s="62">
        <v>63.0</v>
      </c>
      <c r="C65" s="85"/>
      <c r="D65" s="64"/>
      <c r="E65" s="64"/>
      <c r="F65" s="65" t="str">
        <f>IF(ISBLANK(E65),"",VLOOKUP(E65,R_Inf_Proy,2,0))</f>
        <v/>
      </c>
      <c r="G65" s="65" t="str">
        <f>IF(ISBLANK(E65),"",VLOOKUP(E65,R_Inf_Proy,3,0))</f>
        <v/>
      </c>
      <c r="H65" s="86"/>
      <c r="I65" s="86"/>
      <c r="J65" s="86"/>
      <c r="K65" s="66"/>
      <c r="L65" s="87"/>
      <c r="M65" s="87"/>
      <c r="N65" s="87"/>
      <c r="O65" s="81"/>
      <c r="P65" s="81"/>
      <c r="Q65" s="82"/>
      <c r="R65" s="83"/>
      <c r="S65" s="83"/>
      <c r="T65" s="81"/>
      <c r="U65" s="81"/>
      <c r="V65" s="81"/>
      <c r="W65" s="81"/>
      <c r="X65" s="82"/>
      <c r="Y65" s="83"/>
      <c r="Z65" s="83"/>
      <c r="AA65" s="83"/>
      <c r="AB65" s="73"/>
      <c r="AC65" s="85"/>
      <c r="AD65" s="85"/>
      <c r="AE65" s="85"/>
      <c r="AF65" s="85"/>
      <c r="AG65" s="85"/>
      <c r="AH65" s="85"/>
      <c r="AI65" s="73"/>
      <c r="AJ65" s="73"/>
      <c r="AK65" s="74"/>
      <c r="AL65" s="75"/>
      <c r="AM65" s="76" t="str">
        <f t="shared" si="2"/>
        <v/>
      </c>
      <c r="AO65" s="77" t="str">
        <f t="array" ref="AO65">INDEX(R_Proy__ObjEsp,MATCH(E65,L_Proy,0))</f>
        <v>#N/A</v>
      </c>
      <c r="AP65" s="78"/>
      <c r="AQ65" s="78"/>
      <c r="AR65" s="79"/>
      <c r="AS65" s="78" t="str">
        <f t="array" ref="AS65">INDEX(R_ObjEsp__Prod,MATCH(H65,L_ObjEsp,0))</f>
        <v>#N/A</v>
      </c>
      <c r="AT65" s="80"/>
      <c r="AU65" s="80"/>
      <c r="AV65" s="80"/>
      <c r="AW65" s="80"/>
      <c r="AX65" s="79"/>
      <c r="AY65" s="78" t="str">
        <f t="array" ref="AY65">INDEX(R_Pro__Act,MATCH(I65,L_Prod,0))</f>
        <v>#N/A</v>
      </c>
      <c r="AZ65" s="80"/>
      <c r="BA65" s="80"/>
      <c r="BB65" s="80"/>
      <c r="BC65" s="80"/>
      <c r="BD65" s="80"/>
      <c r="BE65" s="79"/>
      <c r="BF65" s="79"/>
      <c r="BG65" s="79"/>
      <c r="BH65" s="79"/>
      <c r="BI65" s="79"/>
      <c r="BJ65" s="79"/>
      <c r="BK65" s="79"/>
      <c r="BL65" s="79"/>
      <c r="BM65" s="79"/>
    </row>
    <row r="66" ht="67.5" customHeight="1">
      <c r="A66" s="39"/>
      <c r="B66" s="62">
        <v>64.0</v>
      </c>
      <c r="C66" s="85"/>
      <c r="D66" s="64"/>
      <c r="E66" s="64"/>
      <c r="F66" s="65" t="str">
        <f>IF(ISBLANK(E66),"",VLOOKUP(E66,R_Inf_Proy,2,0))</f>
        <v/>
      </c>
      <c r="G66" s="65" t="str">
        <f>IF(ISBLANK(E66),"",VLOOKUP(E66,R_Inf_Proy,3,0))</f>
        <v/>
      </c>
      <c r="H66" s="86"/>
      <c r="I66" s="86"/>
      <c r="J66" s="86"/>
      <c r="K66" s="66"/>
      <c r="L66" s="87"/>
      <c r="M66" s="87"/>
      <c r="N66" s="87"/>
      <c r="O66" s="81"/>
      <c r="P66" s="81"/>
      <c r="Q66" s="82"/>
      <c r="R66" s="83"/>
      <c r="S66" s="83"/>
      <c r="T66" s="81"/>
      <c r="U66" s="81"/>
      <c r="V66" s="81"/>
      <c r="W66" s="81"/>
      <c r="X66" s="82"/>
      <c r="Y66" s="83"/>
      <c r="Z66" s="83"/>
      <c r="AA66" s="83"/>
      <c r="AB66" s="73"/>
      <c r="AC66" s="85"/>
      <c r="AD66" s="85"/>
      <c r="AE66" s="85"/>
      <c r="AF66" s="85"/>
      <c r="AG66" s="85"/>
      <c r="AH66" s="85"/>
      <c r="AI66" s="73"/>
      <c r="AJ66" s="73"/>
      <c r="AK66" s="74"/>
      <c r="AL66" s="75"/>
      <c r="AM66" s="76" t="str">
        <f t="shared" si="2"/>
        <v/>
      </c>
      <c r="AO66" s="77" t="str">
        <f t="array" ref="AO66">INDEX(R_Proy__ObjEsp,MATCH(E66,L_Proy,0))</f>
        <v>#N/A</v>
      </c>
      <c r="AP66" s="78"/>
      <c r="AQ66" s="78"/>
      <c r="AR66" s="79"/>
      <c r="AS66" s="78" t="str">
        <f t="array" ref="AS66">INDEX(R_ObjEsp__Prod,MATCH(H66,L_ObjEsp,0))</f>
        <v>#N/A</v>
      </c>
      <c r="AT66" s="80"/>
      <c r="AU66" s="80"/>
      <c r="AV66" s="80"/>
      <c r="AW66" s="80"/>
      <c r="AX66" s="79"/>
      <c r="AY66" s="78" t="str">
        <f t="array" ref="AY66">INDEX(R_Pro__Act,MATCH(I66,L_Prod,0))</f>
        <v>#N/A</v>
      </c>
      <c r="AZ66" s="80"/>
      <c r="BA66" s="80"/>
      <c r="BB66" s="80"/>
      <c r="BC66" s="80"/>
      <c r="BD66" s="80"/>
      <c r="BE66" s="79"/>
      <c r="BF66" s="79"/>
      <c r="BG66" s="79"/>
      <c r="BH66" s="79"/>
      <c r="BI66" s="79"/>
      <c r="BJ66" s="79"/>
      <c r="BK66" s="79"/>
      <c r="BL66" s="79"/>
      <c r="BM66" s="79"/>
    </row>
    <row r="67" ht="67.5" customHeight="1">
      <c r="A67" s="39"/>
      <c r="B67" s="62">
        <v>65.0</v>
      </c>
      <c r="C67" s="85"/>
      <c r="D67" s="64"/>
      <c r="E67" s="64"/>
      <c r="F67" s="65" t="str">
        <f>IF(ISBLANK(E67),"",VLOOKUP(E67,R_Inf_Proy,2,0))</f>
        <v/>
      </c>
      <c r="G67" s="65" t="str">
        <f>IF(ISBLANK(E67),"",VLOOKUP(E67,R_Inf_Proy,3,0))</f>
        <v/>
      </c>
      <c r="H67" s="86"/>
      <c r="I67" s="86"/>
      <c r="J67" s="86"/>
      <c r="K67" s="66"/>
      <c r="L67" s="87"/>
      <c r="M67" s="87"/>
      <c r="N67" s="87"/>
      <c r="O67" s="81"/>
      <c r="P67" s="81"/>
      <c r="Q67" s="82"/>
      <c r="R67" s="83"/>
      <c r="S67" s="83"/>
      <c r="T67" s="81"/>
      <c r="U67" s="81"/>
      <c r="V67" s="81"/>
      <c r="W67" s="81"/>
      <c r="X67" s="82"/>
      <c r="Y67" s="83"/>
      <c r="Z67" s="83"/>
      <c r="AA67" s="83"/>
      <c r="AB67" s="73"/>
      <c r="AC67" s="85"/>
      <c r="AD67" s="85"/>
      <c r="AE67" s="85"/>
      <c r="AF67" s="85"/>
      <c r="AG67" s="85"/>
      <c r="AH67" s="85"/>
      <c r="AI67" s="73"/>
      <c r="AJ67" s="73"/>
      <c r="AK67" s="74"/>
      <c r="AL67" s="75"/>
      <c r="AM67" s="76" t="str">
        <f t="shared" si="2"/>
        <v/>
      </c>
      <c r="AO67" s="77" t="str">
        <f t="array" ref="AO67">INDEX(R_Proy__ObjEsp,MATCH(E67,L_Proy,0))</f>
        <v>#N/A</v>
      </c>
      <c r="AP67" s="78"/>
      <c r="AQ67" s="78"/>
      <c r="AR67" s="79"/>
      <c r="AS67" s="78" t="str">
        <f t="array" ref="AS67">INDEX(R_ObjEsp__Prod,MATCH(H67,L_ObjEsp,0))</f>
        <v>#N/A</v>
      </c>
      <c r="AT67" s="80"/>
      <c r="AU67" s="80"/>
      <c r="AV67" s="80"/>
      <c r="AW67" s="80"/>
      <c r="AX67" s="79"/>
      <c r="AY67" s="78" t="str">
        <f t="array" ref="AY67">INDEX(R_Pro__Act,MATCH(I67,L_Prod,0))</f>
        <v>#N/A</v>
      </c>
      <c r="AZ67" s="80"/>
      <c r="BA67" s="80"/>
      <c r="BB67" s="80"/>
      <c r="BC67" s="80"/>
      <c r="BD67" s="80"/>
      <c r="BE67" s="79"/>
      <c r="BF67" s="79"/>
      <c r="BG67" s="79"/>
      <c r="BH67" s="79"/>
      <c r="BI67" s="79"/>
      <c r="BJ67" s="79"/>
      <c r="BK67" s="79"/>
      <c r="BL67" s="79"/>
      <c r="BM67" s="79"/>
    </row>
    <row r="68" ht="67.5" customHeight="1">
      <c r="A68" s="39"/>
      <c r="B68" s="62">
        <v>66.0</v>
      </c>
      <c r="C68" s="85"/>
      <c r="D68" s="64"/>
      <c r="E68" s="64"/>
      <c r="F68" s="65" t="str">
        <f>IF(ISBLANK(E68),"",VLOOKUP(E68,R_Inf_Proy,2,0))</f>
        <v/>
      </c>
      <c r="G68" s="65" t="str">
        <f>IF(ISBLANK(E68),"",VLOOKUP(E68,R_Inf_Proy,3,0))</f>
        <v/>
      </c>
      <c r="H68" s="86"/>
      <c r="I68" s="86"/>
      <c r="J68" s="86"/>
      <c r="K68" s="66"/>
      <c r="L68" s="87"/>
      <c r="M68" s="87"/>
      <c r="N68" s="87"/>
      <c r="O68" s="81"/>
      <c r="P68" s="81"/>
      <c r="Q68" s="82"/>
      <c r="R68" s="83"/>
      <c r="S68" s="83"/>
      <c r="T68" s="81"/>
      <c r="U68" s="81"/>
      <c r="V68" s="81"/>
      <c r="W68" s="81"/>
      <c r="X68" s="82"/>
      <c r="Y68" s="83"/>
      <c r="Z68" s="83"/>
      <c r="AA68" s="83"/>
      <c r="AB68" s="73"/>
      <c r="AC68" s="85"/>
      <c r="AD68" s="85"/>
      <c r="AE68" s="85"/>
      <c r="AF68" s="85"/>
      <c r="AG68" s="85"/>
      <c r="AH68" s="85"/>
      <c r="AI68" s="73"/>
      <c r="AJ68" s="73"/>
      <c r="AK68" s="74"/>
      <c r="AL68" s="75"/>
      <c r="AM68" s="76" t="str">
        <f t="shared" si="2"/>
        <v/>
      </c>
      <c r="AO68" s="77" t="str">
        <f t="array" ref="AO68">INDEX(R_Proy__ObjEsp,MATCH(E68,L_Proy,0))</f>
        <v>#N/A</v>
      </c>
      <c r="AP68" s="78"/>
      <c r="AQ68" s="78"/>
      <c r="AR68" s="79"/>
      <c r="AS68" s="78" t="str">
        <f t="array" ref="AS68">INDEX(R_ObjEsp__Prod,MATCH(H68,L_ObjEsp,0))</f>
        <v>#N/A</v>
      </c>
      <c r="AT68" s="80"/>
      <c r="AU68" s="80"/>
      <c r="AV68" s="80"/>
      <c r="AW68" s="80"/>
      <c r="AX68" s="79"/>
      <c r="AY68" s="78" t="str">
        <f t="array" ref="AY68">INDEX(R_Pro__Act,MATCH(I68,L_Prod,0))</f>
        <v>#N/A</v>
      </c>
      <c r="AZ68" s="80"/>
      <c r="BA68" s="80"/>
      <c r="BB68" s="80"/>
      <c r="BC68" s="80"/>
      <c r="BD68" s="80"/>
      <c r="BE68" s="79"/>
      <c r="BF68" s="79"/>
      <c r="BG68" s="79"/>
      <c r="BH68" s="79"/>
      <c r="BI68" s="79"/>
      <c r="BJ68" s="79"/>
      <c r="BK68" s="79"/>
      <c r="BL68" s="79"/>
      <c r="BM68" s="79"/>
    </row>
    <row r="69" ht="67.5" customHeight="1">
      <c r="A69" s="39"/>
      <c r="B69" s="62">
        <v>67.0</v>
      </c>
      <c r="C69" s="85"/>
      <c r="D69" s="64"/>
      <c r="E69" s="64"/>
      <c r="F69" s="65" t="str">
        <f>IF(ISBLANK(E69),"",VLOOKUP(E69,R_Inf_Proy,2,0))</f>
        <v/>
      </c>
      <c r="G69" s="65" t="str">
        <f>IF(ISBLANK(E69),"",VLOOKUP(E69,R_Inf_Proy,3,0))</f>
        <v/>
      </c>
      <c r="H69" s="86"/>
      <c r="I69" s="86"/>
      <c r="J69" s="86"/>
      <c r="K69" s="66"/>
      <c r="L69" s="87"/>
      <c r="M69" s="87"/>
      <c r="N69" s="87"/>
      <c r="O69" s="81"/>
      <c r="P69" s="81"/>
      <c r="Q69" s="82"/>
      <c r="R69" s="83"/>
      <c r="S69" s="83"/>
      <c r="T69" s="81"/>
      <c r="U69" s="81"/>
      <c r="V69" s="81"/>
      <c r="W69" s="81"/>
      <c r="X69" s="82"/>
      <c r="Y69" s="83"/>
      <c r="Z69" s="83"/>
      <c r="AA69" s="83"/>
      <c r="AB69" s="73"/>
      <c r="AC69" s="85"/>
      <c r="AD69" s="85"/>
      <c r="AE69" s="85"/>
      <c r="AF69" s="85"/>
      <c r="AG69" s="85"/>
      <c r="AH69" s="85"/>
      <c r="AI69" s="73"/>
      <c r="AJ69" s="73"/>
      <c r="AK69" s="74"/>
      <c r="AL69" s="75"/>
      <c r="AM69" s="76" t="str">
        <f t="shared" si="2"/>
        <v/>
      </c>
      <c r="AO69" s="77" t="str">
        <f t="array" ref="AO69">INDEX(R_Proy__ObjEsp,MATCH(E69,L_Proy,0))</f>
        <v>#N/A</v>
      </c>
      <c r="AP69" s="78"/>
      <c r="AQ69" s="78"/>
      <c r="AR69" s="79"/>
      <c r="AS69" s="78" t="str">
        <f t="array" ref="AS69">INDEX(R_ObjEsp__Prod,MATCH(H69,L_ObjEsp,0))</f>
        <v>#N/A</v>
      </c>
      <c r="AT69" s="80"/>
      <c r="AU69" s="80"/>
      <c r="AV69" s="80"/>
      <c r="AW69" s="80"/>
      <c r="AX69" s="79"/>
      <c r="AY69" s="78" t="str">
        <f t="array" ref="AY69">INDEX(R_Pro__Act,MATCH(I69,L_Prod,0))</f>
        <v>#N/A</v>
      </c>
      <c r="AZ69" s="80"/>
      <c r="BA69" s="80"/>
      <c r="BB69" s="80"/>
      <c r="BC69" s="80"/>
      <c r="BD69" s="80"/>
      <c r="BE69" s="79"/>
      <c r="BF69" s="79"/>
      <c r="BG69" s="79"/>
      <c r="BH69" s="79"/>
      <c r="BI69" s="79"/>
      <c r="BJ69" s="79"/>
      <c r="BK69" s="79"/>
      <c r="BL69" s="79"/>
      <c r="BM69" s="79"/>
    </row>
    <row r="70" ht="67.5" customHeight="1">
      <c r="A70" s="39"/>
      <c r="B70" s="62">
        <v>68.0</v>
      </c>
      <c r="C70" s="85"/>
      <c r="D70" s="64"/>
      <c r="E70" s="64"/>
      <c r="F70" s="65" t="str">
        <f>IF(ISBLANK(E70),"",VLOOKUP(E70,R_Inf_Proy,2,0))</f>
        <v/>
      </c>
      <c r="G70" s="65" t="str">
        <f>IF(ISBLANK(E70),"",VLOOKUP(E70,R_Inf_Proy,3,0))</f>
        <v/>
      </c>
      <c r="H70" s="86"/>
      <c r="I70" s="86"/>
      <c r="J70" s="86"/>
      <c r="K70" s="66"/>
      <c r="L70" s="87"/>
      <c r="M70" s="87"/>
      <c r="N70" s="87"/>
      <c r="O70" s="81"/>
      <c r="P70" s="81"/>
      <c r="Q70" s="82"/>
      <c r="R70" s="83"/>
      <c r="S70" s="83"/>
      <c r="T70" s="81"/>
      <c r="U70" s="81"/>
      <c r="V70" s="81"/>
      <c r="W70" s="81"/>
      <c r="X70" s="82"/>
      <c r="Y70" s="83"/>
      <c r="Z70" s="83"/>
      <c r="AA70" s="83"/>
      <c r="AB70" s="73"/>
      <c r="AC70" s="85"/>
      <c r="AD70" s="85"/>
      <c r="AE70" s="85"/>
      <c r="AF70" s="85"/>
      <c r="AG70" s="85"/>
      <c r="AH70" s="85"/>
      <c r="AI70" s="73"/>
      <c r="AJ70" s="73"/>
      <c r="AK70" s="74"/>
      <c r="AL70" s="75"/>
      <c r="AM70" s="76" t="str">
        <f t="shared" si="2"/>
        <v/>
      </c>
      <c r="AO70" s="77" t="str">
        <f t="array" ref="AO70">INDEX(R_Proy__ObjEsp,MATCH(E70,L_Proy,0))</f>
        <v>#N/A</v>
      </c>
      <c r="AP70" s="78"/>
      <c r="AQ70" s="78"/>
      <c r="AR70" s="79"/>
      <c r="AS70" s="78" t="str">
        <f t="array" ref="AS70">INDEX(R_ObjEsp__Prod,MATCH(H70,L_ObjEsp,0))</f>
        <v>#N/A</v>
      </c>
      <c r="AT70" s="80"/>
      <c r="AU70" s="80"/>
      <c r="AV70" s="80"/>
      <c r="AW70" s="80"/>
      <c r="AX70" s="79"/>
      <c r="AY70" s="78" t="str">
        <f t="array" ref="AY70">INDEX(R_Pro__Act,MATCH(I70,L_Prod,0))</f>
        <v>#N/A</v>
      </c>
      <c r="AZ70" s="80"/>
      <c r="BA70" s="80"/>
      <c r="BB70" s="80"/>
      <c r="BC70" s="80"/>
      <c r="BD70" s="80"/>
      <c r="BE70" s="79"/>
      <c r="BF70" s="79"/>
      <c r="BG70" s="79"/>
      <c r="BH70" s="79"/>
      <c r="BI70" s="79"/>
      <c r="BJ70" s="79"/>
      <c r="BK70" s="79"/>
      <c r="BL70" s="79"/>
      <c r="BM70" s="79"/>
    </row>
    <row r="71" ht="67.5" customHeight="1">
      <c r="A71" s="39"/>
      <c r="B71" s="62">
        <v>69.0</v>
      </c>
      <c r="C71" s="85"/>
      <c r="D71" s="64"/>
      <c r="E71" s="64"/>
      <c r="F71" s="65" t="str">
        <f>IF(ISBLANK(E71),"",VLOOKUP(E71,R_Inf_Proy,2,0))</f>
        <v/>
      </c>
      <c r="G71" s="65" t="str">
        <f>IF(ISBLANK(E71),"",VLOOKUP(E71,R_Inf_Proy,3,0))</f>
        <v/>
      </c>
      <c r="H71" s="86"/>
      <c r="I71" s="86"/>
      <c r="J71" s="86"/>
      <c r="K71" s="66"/>
      <c r="L71" s="87"/>
      <c r="M71" s="87"/>
      <c r="N71" s="87"/>
      <c r="O71" s="81"/>
      <c r="P71" s="81"/>
      <c r="Q71" s="82"/>
      <c r="R71" s="83"/>
      <c r="S71" s="83"/>
      <c r="T71" s="81"/>
      <c r="U71" s="81"/>
      <c r="V71" s="81"/>
      <c r="W71" s="81"/>
      <c r="X71" s="82"/>
      <c r="Y71" s="83"/>
      <c r="Z71" s="83"/>
      <c r="AA71" s="83"/>
      <c r="AB71" s="73"/>
      <c r="AC71" s="85"/>
      <c r="AD71" s="85"/>
      <c r="AE71" s="85"/>
      <c r="AF71" s="85"/>
      <c r="AG71" s="85"/>
      <c r="AH71" s="85"/>
      <c r="AI71" s="73"/>
      <c r="AJ71" s="73"/>
      <c r="AK71" s="74"/>
      <c r="AL71" s="75"/>
      <c r="AM71" s="76" t="str">
        <f t="shared" si="2"/>
        <v/>
      </c>
      <c r="AO71" s="77" t="str">
        <f t="array" ref="AO71">INDEX(R_Proy__ObjEsp,MATCH(E71,L_Proy,0))</f>
        <v>#N/A</v>
      </c>
      <c r="AP71" s="78"/>
      <c r="AQ71" s="78"/>
      <c r="AR71" s="79"/>
      <c r="AS71" s="78" t="str">
        <f t="array" ref="AS71">INDEX(R_ObjEsp__Prod,MATCH(H71,L_ObjEsp,0))</f>
        <v>#N/A</v>
      </c>
      <c r="AT71" s="80"/>
      <c r="AU71" s="80"/>
      <c r="AV71" s="80"/>
      <c r="AW71" s="80"/>
      <c r="AX71" s="79"/>
      <c r="AY71" s="78" t="str">
        <f t="array" ref="AY71">INDEX(R_Pro__Act,MATCH(I71,L_Prod,0))</f>
        <v>#N/A</v>
      </c>
      <c r="AZ71" s="80"/>
      <c r="BA71" s="80"/>
      <c r="BB71" s="80"/>
      <c r="BC71" s="80"/>
      <c r="BD71" s="80"/>
      <c r="BE71" s="79"/>
      <c r="BF71" s="79"/>
      <c r="BG71" s="79"/>
      <c r="BH71" s="79"/>
      <c r="BI71" s="79"/>
      <c r="BJ71" s="79"/>
      <c r="BK71" s="79"/>
      <c r="BL71" s="79"/>
      <c r="BM71" s="79"/>
    </row>
    <row r="72" ht="67.5" customHeight="1">
      <c r="A72" s="39"/>
      <c r="B72" s="62">
        <v>70.0</v>
      </c>
      <c r="C72" s="85"/>
      <c r="D72" s="64"/>
      <c r="E72" s="64"/>
      <c r="F72" s="65" t="str">
        <f>IF(ISBLANK(E72),"",VLOOKUP(E72,R_Inf_Proy,2,0))</f>
        <v/>
      </c>
      <c r="G72" s="65" t="str">
        <f>IF(ISBLANK(E72),"",VLOOKUP(E72,R_Inf_Proy,3,0))</f>
        <v/>
      </c>
      <c r="H72" s="86"/>
      <c r="I72" s="86"/>
      <c r="J72" s="86"/>
      <c r="K72" s="66"/>
      <c r="L72" s="87"/>
      <c r="M72" s="87"/>
      <c r="N72" s="87"/>
      <c r="O72" s="81"/>
      <c r="P72" s="81"/>
      <c r="Q72" s="82"/>
      <c r="R72" s="83"/>
      <c r="S72" s="83"/>
      <c r="T72" s="81"/>
      <c r="U72" s="81"/>
      <c r="V72" s="81"/>
      <c r="W72" s="81"/>
      <c r="X72" s="82"/>
      <c r="Y72" s="83"/>
      <c r="Z72" s="83"/>
      <c r="AA72" s="83"/>
      <c r="AB72" s="73"/>
      <c r="AC72" s="85"/>
      <c r="AD72" s="85"/>
      <c r="AE72" s="85"/>
      <c r="AF72" s="85"/>
      <c r="AG72" s="85"/>
      <c r="AH72" s="85"/>
      <c r="AI72" s="73"/>
      <c r="AJ72" s="73"/>
      <c r="AK72" s="74"/>
      <c r="AL72" s="75"/>
      <c r="AM72" s="76" t="str">
        <f t="shared" si="2"/>
        <v/>
      </c>
      <c r="AO72" s="77" t="str">
        <f t="array" ref="AO72">INDEX(R_Proy__ObjEsp,MATCH(E72,L_Proy,0))</f>
        <v>#N/A</v>
      </c>
      <c r="AP72" s="78"/>
      <c r="AQ72" s="78"/>
      <c r="AR72" s="79"/>
      <c r="AS72" s="78" t="str">
        <f t="array" ref="AS72">INDEX(R_ObjEsp__Prod,MATCH(H72,L_ObjEsp,0))</f>
        <v>#N/A</v>
      </c>
      <c r="AT72" s="80"/>
      <c r="AU72" s="80"/>
      <c r="AV72" s="80"/>
      <c r="AW72" s="80"/>
      <c r="AX72" s="79"/>
      <c r="AY72" s="78" t="str">
        <f t="array" ref="AY72">INDEX(R_Pro__Act,MATCH(I72,L_Prod,0))</f>
        <v>#N/A</v>
      </c>
      <c r="AZ72" s="80"/>
      <c r="BA72" s="80"/>
      <c r="BB72" s="80"/>
      <c r="BC72" s="80"/>
      <c r="BD72" s="80"/>
      <c r="BE72" s="79"/>
      <c r="BF72" s="79"/>
      <c r="BG72" s="79"/>
      <c r="BH72" s="79"/>
      <c r="BI72" s="79"/>
      <c r="BJ72" s="79"/>
      <c r="BK72" s="79"/>
      <c r="BL72" s="79"/>
      <c r="BM72" s="79"/>
    </row>
    <row r="73" ht="67.5" customHeight="1">
      <c r="A73" s="39"/>
      <c r="B73" s="62">
        <v>71.0</v>
      </c>
      <c r="C73" s="85"/>
      <c r="D73" s="64"/>
      <c r="E73" s="64"/>
      <c r="F73" s="65" t="str">
        <f>IF(ISBLANK(E73),"",VLOOKUP(E73,R_Inf_Proy,2,0))</f>
        <v/>
      </c>
      <c r="G73" s="65" t="str">
        <f>IF(ISBLANK(E73),"",VLOOKUP(E73,R_Inf_Proy,3,0))</f>
        <v/>
      </c>
      <c r="H73" s="86"/>
      <c r="I73" s="86"/>
      <c r="J73" s="86"/>
      <c r="K73" s="66"/>
      <c r="L73" s="87"/>
      <c r="M73" s="87"/>
      <c r="N73" s="87"/>
      <c r="O73" s="81"/>
      <c r="P73" s="81"/>
      <c r="Q73" s="82"/>
      <c r="R73" s="83"/>
      <c r="S73" s="83"/>
      <c r="T73" s="81"/>
      <c r="U73" s="81"/>
      <c r="V73" s="81"/>
      <c r="W73" s="81"/>
      <c r="X73" s="82"/>
      <c r="Y73" s="83"/>
      <c r="Z73" s="83"/>
      <c r="AA73" s="83"/>
      <c r="AB73" s="73"/>
      <c r="AC73" s="85"/>
      <c r="AD73" s="85"/>
      <c r="AE73" s="85"/>
      <c r="AF73" s="85"/>
      <c r="AG73" s="85"/>
      <c r="AH73" s="85"/>
      <c r="AI73" s="73"/>
      <c r="AJ73" s="73"/>
      <c r="AK73" s="74"/>
      <c r="AL73" s="75"/>
      <c r="AM73" s="76" t="str">
        <f t="shared" si="2"/>
        <v/>
      </c>
      <c r="AO73" s="77" t="str">
        <f t="array" ref="AO73">INDEX(R_Proy__ObjEsp,MATCH(E73,L_Proy,0))</f>
        <v>#N/A</v>
      </c>
      <c r="AP73" s="78"/>
      <c r="AQ73" s="78"/>
      <c r="AR73" s="79"/>
      <c r="AS73" s="78" t="str">
        <f t="array" ref="AS73">INDEX(R_ObjEsp__Prod,MATCH(H73,L_ObjEsp,0))</f>
        <v>#N/A</v>
      </c>
      <c r="AT73" s="80"/>
      <c r="AU73" s="80"/>
      <c r="AV73" s="80"/>
      <c r="AW73" s="80"/>
      <c r="AX73" s="79"/>
      <c r="AY73" s="78" t="str">
        <f t="array" ref="AY73">INDEX(R_Pro__Act,MATCH(I73,L_Prod,0))</f>
        <v>#N/A</v>
      </c>
      <c r="AZ73" s="80"/>
      <c r="BA73" s="80"/>
      <c r="BB73" s="80"/>
      <c r="BC73" s="80"/>
      <c r="BD73" s="80"/>
      <c r="BE73" s="79"/>
      <c r="BF73" s="79"/>
      <c r="BG73" s="79"/>
      <c r="BH73" s="79"/>
      <c r="BI73" s="79"/>
      <c r="BJ73" s="79"/>
      <c r="BK73" s="79"/>
      <c r="BL73" s="79"/>
      <c r="BM73" s="79"/>
    </row>
    <row r="74" ht="67.5" customHeight="1">
      <c r="A74" s="39"/>
      <c r="B74" s="62">
        <v>72.0</v>
      </c>
      <c r="C74" s="85"/>
      <c r="D74" s="64"/>
      <c r="E74" s="64"/>
      <c r="F74" s="65" t="str">
        <f>IF(ISBLANK(E74),"",VLOOKUP(E74,R_Inf_Proy,2,0))</f>
        <v/>
      </c>
      <c r="G74" s="65" t="str">
        <f>IF(ISBLANK(E74),"",VLOOKUP(E74,R_Inf_Proy,3,0))</f>
        <v/>
      </c>
      <c r="H74" s="86"/>
      <c r="I74" s="86"/>
      <c r="J74" s="86"/>
      <c r="K74" s="66"/>
      <c r="L74" s="87"/>
      <c r="M74" s="87"/>
      <c r="N74" s="87"/>
      <c r="O74" s="81"/>
      <c r="P74" s="81"/>
      <c r="Q74" s="82"/>
      <c r="R74" s="83"/>
      <c r="S74" s="83"/>
      <c r="T74" s="81"/>
      <c r="U74" s="81"/>
      <c r="V74" s="81"/>
      <c r="W74" s="81"/>
      <c r="X74" s="82"/>
      <c r="Y74" s="83"/>
      <c r="Z74" s="83"/>
      <c r="AA74" s="83"/>
      <c r="AB74" s="73"/>
      <c r="AC74" s="85"/>
      <c r="AD74" s="85"/>
      <c r="AE74" s="85"/>
      <c r="AF74" s="85"/>
      <c r="AG74" s="85"/>
      <c r="AH74" s="85"/>
      <c r="AI74" s="73"/>
      <c r="AJ74" s="73"/>
      <c r="AK74" s="74"/>
      <c r="AL74" s="75"/>
      <c r="AM74" s="76" t="str">
        <f t="shared" si="2"/>
        <v/>
      </c>
      <c r="AO74" s="77" t="str">
        <f t="array" ref="AO74">INDEX(R_Proy__ObjEsp,MATCH(E74,L_Proy,0))</f>
        <v>#N/A</v>
      </c>
      <c r="AP74" s="78"/>
      <c r="AQ74" s="78"/>
      <c r="AR74" s="79"/>
      <c r="AS74" s="78" t="str">
        <f t="array" ref="AS74">INDEX(R_ObjEsp__Prod,MATCH(H74,L_ObjEsp,0))</f>
        <v>#N/A</v>
      </c>
      <c r="AT74" s="80"/>
      <c r="AU74" s="80"/>
      <c r="AV74" s="80"/>
      <c r="AW74" s="80"/>
      <c r="AX74" s="79"/>
      <c r="AY74" s="78" t="str">
        <f t="array" ref="AY74">INDEX(R_Pro__Act,MATCH(I74,L_Prod,0))</f>
        <v>#N/A</v>
      </c>
      <c r="AZ74" s="80"/>
      <c r="BA74" s="80"/>
      <c r="BB74" s="80"/>
      <c r="BC74" s="80"/>
      <c r="BD74" s="80"/>
      <c r="BE74" s="79"/>
      <c r="BF74" s="79"/>
      <c r="BG74" s="79"/>
      <c r="BH74" s="79"/>
      <c r="BI74" s="79"/>
      <c r="BJ74" s="79"/>
      <c r="BK74" s="79"/>
      <c r="BL74" s="79"/>
      <c r="BM74" s="79"/>
    </row>
    <row r="75" ht="67.5" customHeight="1">
      <c r="A75" s="39"/>
      <c r="B75" s="62">
        <v>73.0</v>
      </c>
      <c r="C75" s="85"/>
      <c r="D75" s="64"/>
      <c r="E75" s="64"/>
      <c r="F75" s="65" t="str">
        <f>IF(ISBLANK(E75),"",VLOOKUP(E75,R_Inf_Proy,2,0))</f>
        <v/>
      </c>
      <c r="G75" s="65" t="str">
        <f>IF(ISBLANK(E75),"",VLOOKUP(E75,R_Inf_Proy,3,0))</f>
        <v/>
      </c>
      <c r="H75" s="86"/>
      <c r="I75" s="86"/>
      <c r="J75" s="86"/>
      <c r="K75" s="66"/>
      <c r="L75" s="87"/>
      <c r="M75" s="87"/>
      <c r="N75" s="87"/>
      <c r="O75" s="81"/>
      <c r="P75" s="81"/>
      <c r="Q75" s="82"/>
      <c r="R75" s="83"/>
      <c r="S75" s="83"/>
      <c r="T75" s="81"/>
      <c r="U75" s="81"/>
      <c r="V75" s="81"/>
      <c r="W75" s="81"/>
      <c r="X75" s="82"/>
      <c r="Y75" s="83"/>
      <c r="Z75" s="83"/>
      <c r="AA75" s="83"/>
      <c r="AB75" s="73"/>
      <c r="AC75" s="85"/>
      <c r="AD75" s="85"/>
      <c r="AE75" s="85"/>
      <c r="AF75" s="85"/>
      <c r="AG75" s="85"/>
      <c r="AH75" s="85"/>
      <c r="AI75" s="73"/>
      <c r="AJ75" s="73"/>
      <c r="AK75" s="74"/>
      <c r="AL75" s="75"/>
      <c r="AM75" s="76" t="str">
        <f t="shared" si="2"/>
        <v/>
      </c>
      <c r="AO75" s="77" t="str">
        <f t="array" ref="AO75">INDEX(R_Proy__ObjEsp,MATCH(E75,L_Proy,0))</f>
        <v>#N/A</v>
      </c>
      <c r="AP75" s="78"/>
      <c r="AQ75" s="78"/>
      <c r="AR75" s="79"/>
      <c r="AS75" s="78" t="str">
        <f t="array" ref="AS75">INDEX(R_ObjEsp__Prod,MATCH(H75,L_ObjEsp,0))</f>
        <v>#N/A</v>
      </c>
      <c r="AT75" s="80"/>
      <c r="AU75" s="80"/>
      <c r="AV75" s="80"/>
      <c r="AW75" s="80"/>
      <c r="AX75" s="79"/>
      <c r="AY75" s="78" t="str">
        <f t="array" ref="AY75">INDEX(R_Pro__Act,MATCH(I75,L_Prod,0))</f>
        <v>#N/A</v>
      </c>
      <c r="AZ75" s="80"/>
      <c r="BA75" s="80"/>
      <c r="BB75" s="80"/>
      <c r="BC75" s="80"/>
      <c r="BD75" s="80"/>
      <c r="BE75" s="79"/>
      <c r="BF75" s="79"/>
      <c r="BG75" s="79"/>
      <c r="BH75" s="79"/>
      <c r="BI75" s="79"/>
      <c r="BJ75" s="79"/>
      <c r="BK75" s="79"/>
      <c r="BL75" s="79"/>
      <c r="BM75" s="79"/>
    </row>
    <row r="76" ht="67.5" customHeight="1">
      <c r="A76" s="39"/>
      <c r="B76" s="62">
        <v>74.0</v>
      </c>
      <c r="C76" s="85"/>
      <c r="D76" s="64"/>
      <c r="E76" s="64"/>
      <c r="F76" s="65" t="str">
        <f>IF(ISBLANK(E76),"",VLOOKUP(E76,R_Inf_Proy,2,0))</f>
        <v/>
      </c>
      <c r="G76" s="65" t="str">
        <f>IF(ISBLANK(E76),"",VLOOKUP(E76,R_Inf_Proy,3,0))</f>
        <v/>
      </c>
      <c r="H76" s="86"/>
      <c r="I76" s="86"/>
      <c r="J76" s="86"/>
      <c r="K76" s="66"/>
      <c r="L76" s="87"/>
      <c r="M76" s="87"/>
      <c r="N76" s="87"/>
      <c r="O76" s="81"/>
      <c r="P76" s="81"/>
      <c r="Q76" s="82"/>
      <c r="R76" s="83"/>
      <c r="S76" s="83"/>
      <c r="T76" s="81"/>
      <c r="U76" s="81"/>
      <c r="V76" s="81"/>
      <c r="W76" s="81"/>
      <c r="X76" s="82"/>
      <c r="Y76" s="83"/>
      <c r="Z76" s="83"/>
      <c r="AA76" s="83"/>
      <c r="AB76" s="73"/>
      <c r="AC76" s="85"/>
      <c r="AD76" s="85"/>
      <c r="AE76" s="85"/>
      <c r="AF76" s="85"/>
      <c r="AG76" s="85"/>
      <c r="AH76" s="85"/>
      <c r="AI76" s="73"/>
      <c r="AJ76" s="73"/>
      <c r="AK76" s="74"/>
      <c r="AL76" s="75"/>
      <c r="AM76" s="76" t="str">
        <f t="shared" si="2"/>
        <v/>
      </c>
      <c r="AO76" s="77" t="str">
        <f t="array" ref="AO76">INDEX(R_Proy__ObjEsp,MATCH(E76,L_Proy,0))</f>
        <v>#N/A</v>
      </c>
      <c r="AP76" s="78"/>
      <c r="AQ76" s="78"/>
      <c r="AR76" s="79"/>
      <c r="AS76" s="78" t="str">
        <f t="array" ref="AS76">INDEX(R_ObjEsp__Prod,MATCH(H76,L_ObjEsp,0))</f>
        <v>#N/A</v>
      </c>
      <c r="AT76" s="80"/>
      <c r="AU76" s="80"/>
      <c r="AV76" s="80"/>
      <c r="AW76" s="80"/>
      <c r="AX76" s="79"/>
      <c r="AY76" s="78" t="str">
        <f t="array" ref="AY76">INDEX(R_Pro__Act,MATCH(I76,L_Prod,0))</f>
        <v>#N/A</v>
      </c>
      <c r="AZ76" s="80"/>
      <c r="BA76" s="80"/>
      <c r="BB76" s="80"/>
      <c r="BC76" s="80"/>
      <c r="BD76" s="80"/>
      <c r="BE76" s="79"/>
      <c r="BF76" s="79"/>
      <c r="BG76" s="79"/>
      <c r="BH76" s="79"/>
      <c r="BI76" s="79"/>
      <c r="BJ76" s="79"/>
      <c r="BK76" s="79"/>
      <c r="BL76" s="79"/>
      <c r="BM76" s="79"/>
    </row>
    <row r="77" ht="67.5" customHeight="1">
      <c r="A77" s="39"/>
      <c r="B77" s="62">
        <v>75.0</v>
      </c>
      <c r="C77" s="85"/>
      <c r="D77" s="64"/>
      <c r="E77" s="64"/>
      <c r="F77" s="65" t="str">
        <f>IF(ISBLANK(E77),"",VLOOKUP(E77,R_Inf_Proy,2,0))</f>
        <v/>
      </c>
      <c r="G77" s="65" t="str">
        <f>IF(ISBLANK(E77),"",VLOOKUP(E77,R_Inf_Proy,3,0))</f>
        <v/>
      </c>
      <c r="H77" s="86"/>
      <c r="I77" s="86"/>
      <c r="J77" s="86"/>
      <c r="K77" s="66"/>
      <c r="L77" s="87"/>
      <c r="M77" s="87"/>
      <c r="N77" s="87"/>
      <c r="O77" s="81"/>
      <c r="P77" s="81"/>
      <c r="Q77" s="82"/>
      <c r="R77" s="83"/>
      <c r="S77" s="83"/>
      <c r="T77" s="81"/>
      <c r="U77" s="81"/>
      <c r="V77" s="81"/>
      <c r="W77" s="81"/>
      <c r="X77" s="82"/>
      <c r="Y77" s="83"/>
      <c r="Z77" s="83"/>
      <c r="AA77" s="83"/>
      <c r="AB77" s="73"/>
      <c r="AC77" s="85"/>
      <c r="AD77" s="85"/>
      <c r="AE77" s="85"/>
      <c r="AF77" s="85"/>
      <c r="AG77" s="85"/>
      <c r="AH77" s="85"/>
      <c r="AI77" s="73"/>
      <c r="AJ77" s="73"/>
      <c r="AK77" s="74"/>
      <c r="AL77" s="75"/>
      <c r="AM77" s="76" t="str">
        <f t="shared" si="2"/>
        <v/>
      </c>
      <c r="AO77" s="77" t="str">
        <f t="array" ref="AO77">INDEX(R_Proy__ObjEsp,MATCH(E77,L_Proy,0))</f>
        <v>#N/A</v>
      </c>
      <c r="AP77" s="78"/>
      <c r="AQ77" s="78"/>
      <c r="AR77" s="79"/>
      <c r="AS77" s="78" t="str">
        <f t="array" ref="AS77">INDEX(R_ObjEsp__Prod,MATCH(H77,L_ObjEsp,0))</f>
        <v>#N/A</v>
      </c>
      <c r="AT77" s="80"/>
      <c r="AU77" s="80"/>
      <c r="AV77" s="80"/>
      <c r="AW77" s="80"/>
      <c r="AX77" s="79"/>
      <c r="AY77" s="78" t="str">
        <f t="array" ref="AY77">INDEX(R_Pro__Act,MATCH(I77,L_Prod,0))</f>
        <v>#N/A</v>
      </c>
      <c r="AZ77" s="80"/>
      <c r="BA77" s="80"/>
      <c r="BB77" s="80"/>
      <c r="BC77" s="80"/>
      <c r="BD77" s="80"/>
      <c r="BE77" s="79"/>
      <c r="BF77" s="79"/>
      <c r="BG77" s="79"/>
      <c r="BH77" s="79"/>
      <c r="BI77" s="79"/>
      <c r="BJ77" s="79"/>
      <c r="BK77" s="79"/>
      <c r="BL77" s="79"/>
      <c r="BM77" s="79"/>
    </row>
    <row r="78" ht="67.5" customHeight="1">
      <c r="A78" s="39"/>
      <c r="B78" s="62">
        <v>76.0</v>
      </c>
      <c r="C78" s="85"/>
      <c r="D78" s="64"/>
      <c r="E78" s="64"/>
      <c r="F78" s="65" t="str">
        <f>IF(ISBLANK(E78),"",VLOOKUP(E78,R_Inf_Proy,2,0))</f>
        <v/>
      </c>
      <c r="G78" s="65" t="str">
        <f>IF(ISBLANK(E78),"",VLOOKUP(E78,R_Inf_Proy,3,0))</f>
        <v/>
      </c>
      <c r="H78" s="86"/>
      <c r="I78" s="86"/>
      <c r="J78" s="86"/>
      <c r="K78" s="66"/>
      <c r="L78" s="87"/>
      <c r="M78" s="87"/>
      <c r="N78" s="87"/>
      <c r="O78" s="81"/>
      <c r="P78" s="81"/>
      <c r="Q78" s="82"/>
      <c r="R78" s="83"/>
      <c r="S78" s="83"/>
      <c r="T78" s="81"/>
      <c r="U78" s="81"/>
      <c r="V78" s="81"/>
      <c r="W78" s="81"/>
      <c r="X78" s="82"/>
      <c r="Y78" s="83"/>
      <c r="Z78" s="83"/>
      <c r="AA78" s="83"/>
      <c r="AB78" s="73"/>
      <c r="AC78" s="85"/>
      <c r="AD78" s="85"/>
      <c r="AE78" s="85"/>
      <c r="AF78" s="85"/>
      <c r="AG78" s="85"/>
      <c r="AH78" s="85"/>
      <c r="AI78" s="73"/>
      <c r="AJ78" s="73"/>
      <c r="AK78" s="74"/>
      <c r="AL78" s="75"/>
      <c r="AM78" s="76" t="str">
        <f t="shared" si="2"/>
        <v/>
      </c>
      <c r="AO78" s="77" t="str">
        <f t="array" ref="AO78">INDEX(R_Proy__ObjEsp,MATCH(E78,L_Proy,0))</f>
        <v>#N/A</v>
      </c>
      <c r="AP78" s="78"/>
      <c r="AQ78" s="78"/>
      <c r="AR78" s="79"/>
      <c r="AS78" s="78" t="str">
        <f t="array" ref="AS78">INDEX(R_ObjEsp__Prod,MATCH(H78,L_ObjEsp,0))</f>
        <v>#N/A</v>
      </c>
      <c r="AT78" s="80"/>
      <c r="AU78" s="80"/>
      <c r="AV78" s="80"/>
      <c r="AW78" s="80"/>
      <c r="AX78" s="79"/>
      <c r="AY78" s="78" t="str">
        <f t="array" ref="AY78">INDEX(R_Pro__Act,MATCH(I78,L_Prod,0))</f>
        <v>#N/A</v>
      </c>
      <c r="AZ78" s="80"/>
      <c r="BA78" s="80"/>
      <c r="BB78" s="80"/>
      <c r="BC78" s="80"/>
      <c r="BD78" s="80"/>
      <c r="BE78" s="79"/>
      <c r="BF78" s="79"/>
      <c r="BG78" s="79"/>
      <c r="BH78" s="79"/>
      <c r="BI78" s="79"/>
      <c r="BJ78" s="79"/>
      <c r="BK78" s="79"/>
      <c r="BL78" s="79"/>
      <c r="BM78" s="79"/>
    </row>
    <row r="79" ht="67.5" customHeight="1">
      <c r="A79" s="39"/>
      <c r="B79" s="62">
        <v>77.0</v>
      </c>
      <c r="C79" s="85"/>
      <c r="D79" s="64"/>
      <c r="E79" s="64"/>
      <c r="F79" s="65" t="str">
        <f>IF(ISBLANK(E79),"",VLOOKUP(E79,R_Inf_Proy,2,0))</f>
        <v/>
      </c>
      <c r="G79" s="65" t="str">
        <f>IF(ISBLANK(E79),"",VLOOKUP(E79,R_Inf_Proy,3,0))</f>
        <v/>
      </c>
      <c r="H79" s="86"/>
      <c r="I79" s="86"/>
      <c r="J79" s="86"/>
      <c r="K79" s="66"/>
      <c r="L79" s="87"/>
      <c r="M79" s="87"/>
      <c r="N79" s="87"/>
      <c r="O79" s="81"/>
      <c r="P79" s="81"/>
      <c r="Q79" s="82"/>
      <c r="R79" s="83"/>
      <c r="S79" s="83"/>
      <c r="T79" s="81"/>
      <c r="U79" s="81"/>
      <c r="V79" s="81"/>
      <c r="W79" s="81"/>
      <c r="X79" s="82"/>
      <c r="Y79" s="83"/>
      <c r="Z79" s="83"/>
      <c r="AA79" s="83"/>
      <c r="AB79" s="73"/>
      <c r="AC79" s="85"/>
      <c r="AD79" s="85"/>
      <c r="AE79" s="85"/>
      <c r="AF79" s="85"/>
      <c r="AG79" s="85"/>
      <c r="AH79" s="85"/>
      <c r="AI79" s="73"/>
      <c r="AJ79" s="73"/>
      <c r="AK79" s="74"/>
      <c r="AL79" s="75"/>
      <c r="AM79" s="76" t="str">
        <f t="shared" si="2"/>
        <v/>
      </c>
      <c r="AO79" s="77" t="str">
        <f t="array" ref="AO79">INDEX(R_Proy__ObjEsp,MATCH(E79,L_Proy,0))</f>
        <v>#N/A</v>
      </c>
      <c r="AP79" s="78"/>
      <c r="AQ79" s="78"/>
      <c r="AR79" s="79"/>
      <c r="AS79" s="78" t="str">
        <f t="array" ref="AS79">INDEX(R_ObjEsp__Prod,MATCH(H79,L_ObjEsp,0))</f>
        <v>#N/A</v>
      </c>
      <c r="AT79" s="80"/>
      <c r="AU79" s="80"/>
      <c r="AV79" s="80"/>
      <c r="AW79" s="80"/>
      <c r="AX79" s="79"/>
      <c r="AY79" s="78" t="str">
        <f t="array" ref="AY79">INDEX(R_Pro__Act,MATCH(I79,L_Prod,0))</f>
        <v>#N/A</v>
      </c>
      <c r="AZ79" s="80"/>
      <c r="BA79" s="80"/>
      <c r="BB79" s="80"/>
      <c r="BC79" s="80"/>
      <c r="BD79" s="80"/>
      <c r="BE79" s="79"/>
      <c r="BF79" s="79"/>
      <c r="BG79" s="79"/>
      <c r="BH79" s="79"/>
      <c r="BI79" s="79"/>
      <c r="BJ79" s="79"/>
      <c r="BK79" s="79"/>
      <c r="BL79" s="79"/>
      <c r="BM79" s="79"/>
    </row>
    <row r="80" ht="67.5" customHeight="1">
      <c r="A80" s="39"/>
      <c r="B80" s="62">
        <v>78.0</v>
      </c>
      <c r="C80" s="85"/>
      <c r="D80" s="64"/>
      <c r="E80" s="64"/>
      <c r="F80" s="65" t="str">
        <f>IF(ISBLANK(E80),"",VLOOKUP(E80,R_Inf_Proy,2,0))</f>
        <v/>
      </c>
      <c r="G80" s="65" t="str">
        <f>IF(ISBLANK(E80),"",VLOOKUP(E80,R_Inf_Proy,3,0))</f>
        <v/>
      </c>
      <c r="H80" s="86"/>
      <c r="I80" s="86"/>
      <c r="J80" s="86"/>
      <c r="K80" s="66"/>
      <c r="L80" s="87"/>
      <c r="M80" s="87"/>
      <c r="N80" s="87"/>
      <c r="O80" s="81"/>
      <c r="P80" s="81"/>
      <c r="Q80" s="82"/>
      <c r="R80" s="83"/>
      <c r="S80" s="83"/>
      <c r="T80" s="81"/>
      <c r="U80" s="81"/>
      <c r="V80" s="81"/>
      <c r="W80" s="81"/>
      <c r="X80" s="82"/>
      <c r="Y80" s="83"/>
      <c r="Z80" s="83"/>
      <c r="AA80" s="83"/>
      <c r="AB80" s="73"/>
      <c r="AC80" s="85"/>
      <c r="AD80" s="85"/>
      <c r="AE80" s="85"/>
      <c r="AF80" s="85"/>
      <c r="AG80" s="85"/>
      <c r="AH80" s="85"/>
      <c r="AI80" s="73"/>
      <c r="AJ80" s="73"/>
      <c r="AK80" s="74"/>
      <c r="AL80" s="75"/>
      <c r="AM80" s="76" t="str">
        <f t="shared" si="2"/>
        <v/>
      </c>
      <c r="AO80" s="77" t="str">
        <f t="array" ref="AO80">INDEX(R_Proy__ObjEsp,MATCH(E80,L_Proy,0))</f>
        <v>#N/A</v>
      </c>
      <c r="AP80" s="78"/>
      <c r="AQ80" s="78"/>
      <c r="AR80" s="79"/>
      <c r="AS80" s="78" t="str">
        <f t="array" ref="AS80">INDEX(R_ObjEsp__Prod,MATCH(H80,L_ObjEsp,0))</f>
        <v>#N/A</v>
      </c>
      <c r="AT80" s="80"/>
      <c r="AU80" s="80"/>
      <c r="AV80" s="80"/>
      <c r="AW80" s="80"/>
      <c r="AX80" s="79"/>
      <c r="AY80" s="78" t="str">
        <f t="array" ref="AY80">INDEX(R_Pro__Act,MATCH(I80,L_Prod,0))</f>
        <v>#N/A</v>
      </c>
      <c r="AZ80" s="80"/>
      <c r="BA80" s="80"/>
      <c r="BB80" s="80"/>
      <c r="BC80" s="80"/>
      <c r="BD80" s="80"/>
      <c r="BE80" s="79"/>
      <c r="BF80" s="79"/>
      <c r="BG80" s="79"/>
      <c r="BH80" s="79"/>
      <c r="BI80" s="79"/>
      <c r="BJ80" s="79"/>
      <c r="BK80" s="79"/>
      <c r="BL80" s="79"/>
      <c r="BM80" s="79"/>
    </row>
    <row r="81" ht="67.5" customHeight="1">
      <c r="A81" s="39"/>
      <c r="B81" s="62">
        <v>79.0</v>
      </c>
      <c r="C81" s="85"/>
      <c r="D81" s="64"/>
      <c r="E81" s="64"/>
      <c r="F81" s="65" t="str">
        <f>IF(ISBLANK(E81),"",VLOOKUP(E81,R_Inf_Proy,2,0))</f>
        <v/>
      </c>
      <c r="G81" s="65" t="str">
        <f>IF(ISBLANK(E81),"",VLOOKUP(E81,R_Inf_Proy,3,0))</f>
        <v/>
      </c>
      <c r="H81" s="86"/>
      <c r="I81" s="86"/>
      <c r="J81" s="86"/>
      <c r="K81" s="66"/>
      <c r="L81" s="87"/>
      <c r="M81" s="87"/>
      <c r="N81" s="87"/>
      <c r="O81" s="81"/>
      <c r="P81" s="81"/>
      <c r="Q81" s="82"/>
      <c r="R81" s="83"/>
      <c r="S81" s="83"/>
      <c r="T81" s="81"/>
      <c r="U81" s="81"/>
      <c r="V81" s="81"/>
      <c r="W81" s="81"/>
      <c r="X81" s="82"/>
      <c r="Y81" s="83"/>
      <c r="Z81" s="83"/>
      <c r="AA81" s="83"/>
      <c r="AB81" s="73"/>
      <c r="AC81" s="85"/>
      <c r="AD81" s="85"/>
      <c r="AE81" s="85"/>
      <c r="AF81" s="85"/>
      <c r="AG81" s="85"/>
      <c r="AH81" s="85"/>
      <c r="AI81" s="73"/>
      <c r="AJ81" s="73"/>
      <c r="AK81" s="74"/>
      <c r="AL81" s="75"/>
      <c r="AM81" s="76" t="str">
        <f t="shared" si="2"/>
        <v/>
      </c>
      <c r="AO81" s="77" t="str">
        <f t="array" ref="AO81">INDEX(R_Proy__ObjEsp,MATCH(E81,L_Proy,0))</f>
        <v>#N/A</v>
      </c>
      <c r="AP81" s="78"/>
      <c r="AQ81" s="78"/>
      <c r="AR81" s="79"/>
      <c r="AS81" s="78" t="str">
        <f t="array" ref="AS81">INDEX(R_ObjEsp__Prod,MATCH(H81,L_ObjEsp,0))</f>
        <v>#N/A</v>
      </c>
      <c r="AT81" s="80"/>
      <c r="AU81" s="80"/>
      <c r="AV81" s="80"/>
      <c r="AW81" s="80"/>
      <c r="AX81" s="79"/>
      <c r="AY81" s="78" t="str">
        <f t="array" ref="AY81">INDEX(R_Pro__Act,MATCH(I81,L_Prod,0))</f>
        <v>#N/A</v>
      </c>
      <c r="AZ81" s="80"/>
      <c r="BA81" s="80"/>
      <c r="BB81" s="80"/>
      <c r="BC81" s="80"/>
      <c r="BD81" s="80"/>
      <c r="BE81" s="79"/>
      <c r="BF81" s="79"/>
      <c r="BG81" s="79"/>
      <c r="BH81" s="79"/>
      <c r="BI81" s="79"/>
      <c r="BJ81" s="79"/>
      <c r="BK81" s="79"/>
      <c r="BL81" s="79"/>
      <c r="BM81" s="79"/>
    </row>
    <row r="82" ht="67.5" customHeight="1">
      <c r="A82" s="39"/>
      <c r="B82" s="62">
        <v>80.0</v>
      </c>
      <c r="C82" s="85"/>
      <c r="D82" s="64"/>
      <c r="E82" s="64"/>
      <c r="F82" s="65" t="str">
        <f>IF(ISBLANK(E82),"",VLOOKUP(E82,R_Inf_Proy,2,0))</f>
        <v/>
      </c>
      <c r="G82" s="65" t="str">
        <f>IF(ISBLANK(E82),"",VLOOKUP(E82,R_Inf_Proy,3,0))</f>
        <v/>
      </c>
      <c r="H82" s="86"/>
      <c r="I82" s="86"/>
      <c r="J82" s="86"/>
      <c r="K82" s="66"/>
      <c r="L82" s="87"/>
      <c r="M82" s="87"/>
      <c r="N82" s="87"/>
      <c r="O82" s="81"/>
      <c r="P82" s="81"/>
      <c r="Q82" s="82"/>
      <c r="R82" s="83"/>
      <c r="S82" s="83"/>
      <c r="T82" s="81"/>
      <c r="U82" s="81"/>
      <c r="V82" s="81"/>
      <c r="W82" s="81"/>
      <c r="X82" s="82"/>
      <c r="Y82" s="83"/>
      <c r="Z82" s="83"/>
      <c r="AA82" s="83"/>
      <c r="AB82" s="73"/>
      <c r="AC82" s="85"/>
      <c r="AD82" s="85"/>
      <c r="AE82" s="85"/>
      <c r="AF82" s="85"/>
      <c r="AG82" s="85"/>
      <c r="AH82" s="85"/>
      <c r="AI82" s="73"/>
      <c r="AJ82" s="73"/>
      <c r="AK82" s="74"/>
      <c r="AL82" s="75"/>
      <c r="AM82" s="76" t="str">
        <f t="shared" si="2"/>
        <v/>
      </c>
      <c r="AO82" s="77" t="str">
        <f t="array" ref="AO82">INDEX(R_Proy__ObjEsp,MATCH(E82,L_Proy,0))</f>
        <v>#N/A</v>
      </c>
      <c r="AP82" s="78"/>
      <c r="AQ82" s="78"/>
      <c r="AR82" s="79"/>
      <c r="AS82" s="78" t="str">
        <f t="array" ref="AS82">INDEX(R_ObjEsp__Prod,MATCH(H82,L_ObjEsp,0))</f>
        <v>#N/A</v>
      </c>
      <c r="AT82" s="80"/>
      <c r="AU82" s="80"/>
      <c r="AV82" s="80"/>
      <c r="AW82" s="80"/>
      <c r="AX82" s="79"/>
      <c r="AY82" s="78" t="str">
        <f t="array" ref="AY82">INDEX(R_Pro__Act,MATCH(I82,L_Prod,0))</f>
        <v>#N/A</v>
      </c>
      <c r="AZ82" s="80"/>
      <c r="BA82" s="80"/>
      <c r="BB82" s="80"/>
      <c r="BC82" s="80"/>
      <c r="BD82" s="80"/>
      <c r="BE82" s="79"/>
      <c r="BF82" s="79"/>
      <c r="BG82" s="79"/>
      <c r="BH82" s="79"/>
      <c r="BI82" s="79"/>
      <c r="BJ82" s="79"/>
      <c r="BK82" s="79"/>
      <c r="BL82" s="79"/>
      <c r="BM82" s="79"/>
    </row>
    <row r="83" ht="67.5" customHeight="1">
      <c r="A83" s="39"/>
      <c r="B83" s="62">
        <v>81.0</v>
      </c>
      <c r="C83" s="85"/>
      <c r="D83" s="64"/>
      <c r="E83" s="64"/>
      <c r="F83" s="65" t="str">
        <f>IF(ISBLANK(E83),"",VLOOKUP(E83,R_Inf_Proy,2,0))</f>
        <v/>
      </c>
      <c r="G83" s="65" t="str">
        <f>IF(ISBLANK(E83),"",VLOOKUP(E83,R_Inf_Proy,3,0))</f>
        <v/>
      </c>
      <c r="H83" s="86"/>
      <c r="I83" s="86"/>
      <c r="J83" s="86"/>
      <c r="K83" s="66"/>
      <c r="L83" s="87"/>
      <c r="M83" s="87"/>
      <c r="N83" s="87"/>
      <c r="O83" s="81"/>
      <c r="P83" s="81"/>
      <c r="Q83" s="82"/>
      <c r="R83" s="83"/>
      <c r="S83" s="83"/>
      <c r="T83" s="81"/>
      <c r="U83" s="81"/>
      <c r="V83" s="81"/>
      <c r="W83" s="81"/>
      <c r="X83" s="82"/>
      <c r="Y83" s="83"/>
      <c r="Z83" s="83"/>
      <c r="AA83" s="83"/>
      <c r="AB83" s="73"/>
      <c r="AC83" s="85"/>
      <c r="AD83" s="85"/>
      <c r="AE83" s="85"/>
      <c r="AF83" s="85"/>
      <c r="AG83" s="85"/>
      <c r="AH83" s="85"/>
      <c r="AI83" s="73"/>
      <c r="AJ83" s="73"/>
      <c r="AK83" s="74"/>
      <c r="AL83" s="75"/>
      <c r="AM83" s="76" t="str">
        <f t="shared" si="2"/>
        <v/>
      </c>
      <c r="AO83" s="77" t="str">
        <f t="array" ref="AO83">INDEX(R_Proy__ObjEsp,MATCH(E83,L_Proy,0))</f>
        <v>#N/A</v>
      </c>
      <c r="AP83" s="78"/>
      <c r="AQ83" s="78"/>
      <c r="AR83" s="79"/>
      <c r="AS83" s="78" t="str">
        <f t="array" ref="AS83">INDEX(R_ObjEsp__Prod,MATCH(H83,L_ObjEsp,0))</f>
        <v>#N/A</v>
      </c>
      <c r="AT83" s="80"/>
      <c r="AU83" s="80"/>
      <c r="AV83" s="80"/>
      <c r="AW83" s="80"/>
      <c r="AX83" s="79"/>
      <c r="AY83" s="78" t="str">
        <f t="array" ref="AY83">INDEX(R_Pro__Act,MATCH(I83,L_Prod,0))</f>
        <v>#N/A</v>
      </c>
      <c r="AZ83" s="80"/>
      <c r="BA83" s="80"/>
      <c r="BB83" s="80"/>
      <c r="BC83" s="80"/>
      <c r="BD83" s="80"/>
      <c r="BE83" s="79"/>
      <c r="BF83" s="79"/>
      <c r="BG83" s="79"/>
      <c r="BH83" s="79"/>
      <c r="BI83" s="79"/>
      <c r="BJ83" s="79"/>
      <c r="BK83" s="79"/>
      <c r="BL83" s="79"/>
      <c r="BM83" s="79"/>
    </row>
    <row r="84" ht="67.5" customHeight="1">
      <c r="A84" s="39"/>
      <c r="B84" s="62">
        <v>82.0</v>
      </c>
      <c r="C84" s="85"/>
      <c r="D84" s="64"/>
      <c r="E84" s="64"/>
      <c r="F84" s="65" t="str">
        <f>IF(ISBLANK(E84),"",VLOOKUP(E84,R_Inf_Proy,2,0))</f>
        <v/>
      </c>
      <c r="G84" s="65" t="str">
        <f>IF(ISBLANK(E84),"",VLOOKUP(E84,R_Inf_Proy,3,0))</f>
        <v/>
      </c>
      <c r="H84" s="86"/>
      <c r="I84" s="86"/>
      <c r="J84" s="86"/>
      <c r="K84" s="66"/>
      <c r="L84" s="87"/>
      <c r="M84" s="87"/>
      <c r="N84" s="87"/>
      <c r="O84" s="81"/>
      <c r="P84" s="81"/>
      <c r="Q84" s="82"/>
      <c r="R84" s="83"/>
      <c r="S84" s="83"/>
      <c r="T84" s="81"/>
      <c r="U84" s="81"/>
      <c r="V84" s="81"/>
      <c r="W84" s="81"/>
      <c r="X84" s="82"/>
      <c r="Y84" s="83"/>
      <c r="Z84" s="83"/>
      <c r="AA84" s="83"/>
      <c r="AB84" s="73"/>
      <c r="AC84" s="85"/>
      <c r="AD84" s="85"/>
      <c r="AE84" s="85"/>
      <c r="AF84" s="85"/>
      <c r="AG84" s="85"/>
      <c r="AH84" s="85"/>
      <c r="AI84" s="73"/>
      <c r="AJ84" s="73"/>
      <c r="AK84" s="74"/>
      <c r="AL84" s="75"/>
      <c r="AM84" s="76" t="str">
        <f t="shared" si="2"/>
        <v/>
      </c>
      <c r="AO84" s="77" t="str">
        <f t="array" ref="AO84">INDEX(R_Proy__ObjEsp,MATCH(E84,L_Proy,0))</f>
        <v>#N/A</v>
      </c>
      <c r="AP84" s="78"/>
      <c r="AQ84" s="78"/>
      <c r="AR84" s="79"/>
      <c r="AS84" s="78" t="str">
        <f t="array" ref="AS84">INDEX(R_ObjEsp__Prod,MATCH(H84,L_ObjEsp,0))</f>
        <v>#N/A</v>
      </c>
      <c r="AT84" s="80"/>
      <c r="AU84" s="80"/>
      <c r="AV84" s="80"/>
      <c r="AW84" s="80"/>
      <c r="AX84" s="79"/>
      <c r="AY84" s="78" t="str">
        <f t="array" ref="AY84">INDEX(R_Pro__Act,MATCH(I84,L_Prod,0))</f>
        <v>#N/A</v>
      </c>
      <c r="AZ84" s="80"/>
      <c r="BA84" s="80"/>
      <c r="BB84" s="80"/>
      <c r="BC84" s="80"/>
      <c r="BD84" s="80"/>
      <c r="BE84" s="79"/>
      <c r="BF84" s="79"/>
      <c r="BG84" s="79"/>
      <c r="BH84" s="79"/>
      <c r="BI84" s="79"/>
      <c r="BJ84" s="79"/>
      <c r="BK84" s="79"/>
      <c r="BL84" s="79"/>
      <c r="BM84" s="79"/>
    </row>
    <row r="85" ht="67.5" customHeight="1">
      <c r="A85" s="39"/>
      <c r="B85" s="62">
        <v>83.0</v>
      </c>
      <c r="C85" s="85"/>
      <c r="D85" s="64"/>
      <c r="E85" s="64"/>
      <c r="F85" s="65" t="str">
        <f>IF(ISBLANK(E85),"",VLOOKUP(E85,R_Inf_Proy,2,0))</f>
        <v/>
      </c>
      <c r="G85" s="65" t="str">
        <f>IF(ISBLANK(E85),"",VLOOKUP(E85,R_Inf_Proy,3,0))</f>
        <v/>
      </c>
      <c r="H85" s="86"/>
      <c r="I85" s="86"/>
      <c r="J85" s="86"/>
      <c r="K85" s="66"/>
      <c r="L85" s="87"/>
      <c r="M85" s="87"/>
      <c r="N85" s="87"/>
      <c r="O85" s="81"/>
      <c r="P85" s="81"/>
      <c r="Q85" s="82"/>
      <c r="R85" s="83"/>
      <c r="S85" s="83"/>
      <c r="T85" s="81"/>
      <c r="U85" s="81"/>
      <c r="V85" s="81"/>
      <c r="W85" s="81"/>
      <c r="X85" s="82"/>
      <c r="Y85" s="83"/>
      <c r="Z85" s="83"/>
      <c r="AA85" s="83"/>
      <c r="AB85" s="73"/>
      <c r="AC85" s="85"/>
      <c r="AD85" s="85"/>
      <c r="AE85" s="85"/>
      <c r="AF85" s="85"/>
      <c r="AG85" s="85"/>
      <c r="AH85" s="85"/>
      <c r="AI85" s="73"/>
      <c r="AJ85" s="73"/>
      <c r="AK85" s="74"/>
      <c r="AL85" s="75"/>
      <c r="AM85" s="76" t="str">
        <f t="shared" si="2"/>
        <v/>
      </c>
      <c r="AO85" s="77" t="str">
        <f t="array" ref="AO85">INDEX(R_Proy__ObjEsp,MATCH(E85,L_Proy,0))</f>
        <v>#N/A</v>
      </c>
      <c r="AP85" s="78"/>
      <c r="AQ85" s="78"/>
      <c r="AR85" s="79"/>
      <c r="AS85" s="78" t="str">
        <f t="array" ref="AS85">INDEX(R_ObjEsp__Prod,MATCH(H85,L_ObjEsp,0))</f>
        <v>#N/A</v>
      </c>
      <c r="AT85" s="80"/>
      <c r="AU85" s="80"/>
      <c r="AV85" s="80"/>
      <c r="AW85" s="80"/>
      <c r="AX85" s="79"/>
      <c r="AY85" s="78" t="str">
        <f t="array" ref="AY85">INDEX(R_Pro__Act,MATCH(I85,L_Prod,0))</f>
        <v>#N/A</v>
      </c>
      <c r="AZ85" s="80"/>
      <c r="BA85" s="80"/>
      <c r="BB85" s="80"/>
      <c r="BC85" s="80"/>
      <c r="BD85" s="80"/>
      <c r="BE85" s="79"/>
      <c r="BF85" s="79"/>
      <c r="BG85" s="79"/>
      <c r="BH85" s="79"/>
      <c r="BI85" s="79"/>
      <c r="BJ85" s="79"/>
      <c r="BK85" s="79"/>
      <c r="BL85" s="79"/>
      <c r="BM85" s="79"/>
    </row>
    <row r="86" ht="67.5" customHeight="1">
      <c r="A86" s="39"/>
      <c r="B86" s="62">
        <v>84.0</v>
      </c>
      <c r="C86" s="85"/>
      <c r="D86" s="64"/>
      <c r="E86" s="64"/>
      <c r="F86" s="65" t="str">
        <f>IF(ISBLANK(E86),"",VLOOKUP(E86,R_Inf_Proy,2,0))</f>
        <v/>
      </c>
      <c r="G86" s="65" t="str">
        <f>IF(ISBLANK(E86),"",VLOOKUP(E86,R_Inf_Proy,3,0))</f>
        <v/>
      </c>
      <c r="H86" s="86"/>
      <c r="I86" s="86"/>
      <c r="J86" s="86"/>
      <c r="K86" s="66"/>
      <c r="L86" s="87"/>
      <c r="M86" s="87"/>
      <c r="N86" s="87"/>
      <c r="O86" s="81"/>
      <c r="P86" s="81"/>
      <c r="Q86" s="82"/>
      <c r="R86" s="83"/>
      <c r="S86" s="83"/>
      <c r="T86" s="81"/>
      <c r="U86" s="81"/>
      <c r="V86" s="81"/>
      <c r="W86" s="81"/>
      <c r="X86" s="82"/>
      <c r="Y86" s="83"/>
      <c r="Z86" s="83"/>
      <c r="AA86" s="83"/>
      <c r="AB86" s="73"/>
      <c r="AC86" s="85"/>
      <c r="AD86" s="85"/>
      <c r="AE86" s="85"/>
      <c r="AF86" s="85"/>
      <c r="AG86" s="85"/>
      <c r="AH86" s="85"/>
      <c r="AI86" s="73"/>
      <c r="AJ86" s="73"/>
      <c r="AK86" s="74"/>
      <c r="AL86" s="75"/>
      <c r="AM86" s="76" t="str">
        <f t="shared" si="2"/>
        <v/>
      </c>
      <c r="AO86" s="77" t="str">
        <f t="array" ref="AO86">INDEX(R_Proy__ObjEsp,MATCH(E86,L_Proy,0))</f>
        <v>#N/A</v>
      </c>
      <c r="AP86" s="78"/>
      <c r="AQ86" s="78"/>
      <c r="AR86" s="79"/>
      <c r="AS86" s="78" t="str">
        <f t="array" ref="AS86">INDEX(R_ObjEsp__Prod,MATCH(H86,L_ObjEsp,0))</f>
        <v>#N/A</v>
      </c>
      <c r="AT86" s="80"/>
      <c r="AU86" s="80"/>
      <c r="AV86" s="80"/>
      <c r="AW86" s="80"/>
      <c r="AX86" s="79"/>
      <c r="AY86" s="78" t="str">
        <f t="array" ref="AY86">INDEX(R_Pro__Act,MATCH(I86,L_Prod,0))</f>
        <v>#N/A</v>
      </c>
      <c r="AZ86" s="80"/>
      <c r="BA86" s="80"/>
      <c r="BB86" s="80"/>
      <c r="BC86" s="80"/>
      <c r="BD86" s="80"/>
      <c r="BE86" s="79"/>
      <c r="BF86" s="79"/>
      <c r="BG86" s="79"/>
      <c r="BH86" s="79"/>
      <c r="BI86" s="79"/>
      <c r="BJ86" s="79"/>
      <c r="BK86" s="79"/>
      <c r="BL86" s="79"/>
      <c r="BM86" s="79"/>
    </row>
    <row r="87" ht="67.5" customHeight="1">
      <c r="A87" s="39"/>
      <c r="B87" s="62">
        <v>85.0</v>
      </c>
      <c r="C87" s="85"/>
      <c r="D87" s="64"/>
      <c r="E87" s="64"/>
      <c r="F87" s="65" t="str">
        <f>IF(ISBLANK(E87),"",VLOOKUP(E87,R_Inf_Proy,2,0))</f>
        <v/>
      </c>
      <c r="G87" s="65" t="str">
        <f>IF(ISBLANK(E87),"",VLOOKUP(E87,R_Inf_Proy,3,0))</f>
        <v/>
      </c>
      <c r="H87" s="86"/>
      <c r="I87" s="86"/>
      <c r="J87" s="86"/>
      <c r="K87" s="66"/>
      <c r="L87" s="87"/>
      <c r="M87" s="87"/>
      <c r="N87" s="87"/>
      <c r="O87" s="81"/>
      <c r="P87" s="81"/>
      <c r="Q87" s="82"/>
      <c r="R87" s="83"/>
      <c r="S87" s="83"/>
      <c r="T87" s="81"/>
      <c r="U87" s="81"/>
      <c r="V87" s="81"/>
      <c r="W87" s="81"/>
      <c r="X87" s="82"/>
      <c r="Y87" s="83"/>
      <c r="Z87" s="83"/>
      <c r="AA87" s="83"/>
      <c r="AB87" s="73"/>
      <c r="AC87" s="85"/>
      <c r="AD87" s="85"/>
      <c r="AE87" s="85"/>
      <c r="AF87" s="85"/>
      <c r="AG87" s="85"/>
      <c r="AH87" s="85"/>
      <c r="AI87" s="73"/>
      <c r="AJ87" s="73"/>
      <c r="AK87" s="74"/>
      <c r="AL87" s="75"/>
      <c r="AM87" s="76" t="str">
        <f t="shared" si="2"/>
        <v/>
      </c>
      <c r="AO87" s="77" t="str">
        <f t="array" ref="AO87">INDEX(R_Proy__ObjEsp,MATCH(E87,L_Proy,0))</f>
        <v>#N/A</v>
      </c>
      <c r="AP87" s="78"/>
      <c r="AQ87" s="78"/>
      <c r="AR87" s="79"/>
      <c r="AS87" s="78" t="str">
        <f t="array" ref="AS87">INDEX(R_ObjEsp__Prod,MATCH(H87,L_ObjEsp,0))</f>
        <v>#N/A</v>
      </c>
      <c r="AT87" s="80"/>
      <c r="AU87" s="80"/>
      <c r="AV87" s="80"/>
      <c r="AW87" s="80"/>
      <c r="AX87" s="79"/>
      <c r="AY87" s="78" t="str">
        <f t="array" ref="AY87">INDEX(R_Pro__Act,MATCH(I87,L_Prod,0))</f>
        <v>#N/A</v>
      </c>
      <c r="AZ87" s="80"/>
      <c r="BA87" s="80"/>
      <c r="BB87" s="80"/>
      <c r="BC87" s="80"/>
      <c r="BD87" s="80"/>
      <c r="BE87" s="79"/>
      <c r="BF87" s="79"/>
      <c r="BG87" s="79"/>
      <c r="BH87" s="79"/>
      <c r="BI87" s="79"/>
      <c r="BJ87" s="79"/>
      <c r="BK87" s="79"/>
      <c r="BL87" s="79"/>
      <c r="BM87" s="79"/>
    </row>
    <row r="88" ht="67.5" customHeight="1">
      <c r="A88" s="39"/>
      <c r="B88" s="62">
        <v>86.0</v>
      </c>
      <c r="C88" s="85"/>
      <c r="D88" s="64"/>
      <c r="E88" s="64"/>
      <c r="F88" s="65" t="str">
        <f>IF(ISBLANK(E88),"",VLOOKUP(E88,R_Inf_Proy,2,0))</f>
        <v/>
      </c>
      <c r="G88" s="65" t="str">
        <f>IF(ISBLANK(E88),"",VLOOKUP(E88,R_Inf_Proy,3,0))</f>
        <v/>
      </c>
      <c r="H88" s="86"/>
      <c r="I88" s="86"/>
      <c r="J88" s="86"/>
      <c r="K88" s="66"/>
      <c r="L88" s="87"/>
      <c r="M88" s="87"/>
      <c r="N88" s="87"/>
      <c r="O88" s="81"/>
      <c r="P88" s="81"/>
      <c r="Q88" s="82"/>
      <c r="R88" s="83"/>
      <c r="S88" s="83"/>
      <c r="T88" s="81"/>
      <c r="U88" s="81"/>
      <c r="V88" s="81"/>
      <c r="W88" s="81"/>
      <c r="X88" s="82"/>
      <c r="Y88" s="83"/>
      <c r="Z88" s="83"/>
      <c r="AA88" s="83"/>
      <c r="AB88" s="73"/>
      <c r="AC88" s="85"/>
      <c r="AD88" s="85"/>
      <c r="AE88" s="85"/>
      <c r="AF88" s="85"/>
      <c r="AG88" s="85"/>
      <c r="AH88" s="85"/>
      <c r="AI88" s="73"/>
      <c r="AJ88" s="73"/>
      <c r="AK88" s="74"/>
      <c r="AL88" s="75"/>
      <c r="AM88" s="76" t="str">
        <f t="shared" si="2"/>
        <v/>
      </c>
      <c r="AO88" s="77" t="str">
        <f t="array" ref="AO88">INDEX(R_Proy__ObjEsp,MATCH(E88,L_Proy,0))</f>
        <v>#N/A</v>
      </c>
      <c r="AP88" s="78"/>
      <c r="AQ88" s="78"/>
      <c r="AR88" s="79"/>
      <c r="AS88" s="78" t="str">
        <f t="array" ref="AS88">INDEX(R_ObjEsp__Prod,MATCH(H88,L_ObjEsp,0))</f>
        <v>#N/A</v>
      </c>
      <c r="AT88" s="80"/>
      <c r="AU88" s="80"/>
      <c r="AV88" s="80"/>
      <c r="AW88" s="80"/>
      <c r="AX88" s="79"/>
      <c r="AY88" s="78" t="str">
        <f t="array" ref="AY88">INDEX(R_Pro__Act,MATCH(I88,L_Prod,0))</f>
        <v>#N/A</v>
      </c>
      <c r="AZ88" s="80"/>
      <c r="BA88" s="80"/>
      <c r="BB88" s="80"/>
      <c r="BC88" s="80"/>
      <c r="BD88" s="80"/>
      <c r="BE88" s="79"/>
      <c r="BF88" s="79"/>
      <c r="BG88" s="79"/>
      <c r="BH88" s="79"/>
      <c r="BI88" s="79"/>
      <c r="BJ88" s="79"/>
      <c r="BK88" s="79"/>
      <c r="BL88" s="79"/>
      <c r="BM88" s="79"/>
    </row>
    <row r="89" ht="67.5" customHeight="1">
      <c r="A89" s="39"/>
      <c r="B89" s="62">
        <v>87.0</v>
      </c>
      <c r="C89" s="85"/>
      <c r="D89" s="64"/>
      <c r="E89" s="64"/>
      <c r="F89" s="65" t="str">
        <f>IF(ISBLANK(E89),"",VLOOKUP(E89,R_Inf_Proy,2,0))</f>
        <v/>
      </c>
      <c r="G89" s="65" t="str">
        <f>IF(ISBLANK(E89),"",VLOOKUP(E89,R_Inf_Proy,3,0))</f>
        <v/>
      </c>
      <c r="H89" s="86"/>
      <c r="I89" s="86"/>
      <c r="J89" s="86"/>
      <c r="K89" s="66"/>
      <c r="L89" s="87"/>
      <c r="M89" s="87"/>
      <c r="N89" s="87"/>
      <c r="O89" s="81"/>
      <c r="P89" s="81"/>
      <c r="Q89" s="82"/>
      <c r="R89" s="83"/>
      <c r="S89" s="83"/>
      <c r="T89" s="81"/>
      <c r="U89" s="81"/>
      <c r="V89" s="81"/>
      <c r="W89" s="81"/>
      <c r="X89" s="82"/>
      <c r="Y89" s="83"/>
      <c r="Z89" s="83"/>
      <c r="AA89" s="83"/>
      <c r="AB89" s="73"/>
      <c r="AC89" s="85"/>
      <c r="AD89" s="85"/>
      <c r="AE89" s="85"/>
      <c r="AF89" s="85"/>
      <c r="AG89" s="85"/>
      <c r="AH89" s="85"/>
      <c r="AI89" s="73"/>
      <c r="AJ89" s="73"/>
      <c r="AK89" s="74"/>
      <c r="AL89" s="75"/>
      <c r="AM89" s="76" t="str">
        <f t="shared" si="2"/>
        <v/>
      </c>
      <c r="AO89" s="77" t="str">
        <f t="array" ref="AO89">INDEX(R_Proy__ObjEsp,MATCH(E89,L_Proy,0))</f>
        <v>#N/A</v>
      </c>
      <c r="AP89" s="78"/>
      <c r="AQ89" s="78"/>
      <c r="AR89" s="79"/>
      <c r="AS89" s="78" t="str">
        <f t="array" ref="AS89">INDEX(R_ObjEsp__Prod,MATCH(H89,L_ObjEsp,0))</f>
        <v>#N/A</v>
      </c>
      <c r="AT89" s="80"/>
      <c r="AU89" s="80"/>
      <c r="AV89" s="80"/>
      <c r="AW89" s="80"/>
      <c r="AX89" s="79"/>
      <c r="AY89" s="78" t="str">
        <f t="array" ref="AY89">INDEX(R_Pro__Act,MATCH(I89,L_Prod,0))</f>
        <v>#N/A</v>
      </c>
      <c r="AZ89" s="80"/>
      <c r="BA89" s="80"/>
      <c r="BB89" s="80"/>
      <c r="BC89" s="80"/>
      <c r="BD89" s="80"/>
      <c r="BE89" s="79"/>
      <c r="BF89" s="79"/>
      <c r="BG89" s="79"/>
      <c r="BH89" s="79"/>
      <c r="BI89" s="79"/>
      <c r="BJ89" s="79"/>
      <c r="BK89" s="79"/>
      <c r="BL89" s="79"/>
      <c r="BM89" s="79"/>
    </row>
    <row r="90" ht="67.5" customHeight="1">
      <c r="A90" s="39"/>
      <c r="B90" s="62">
        <v>88.0</v>
      </c>
      <c r="C90" s="85"/>
      <c r="D90" s="64"/>
      <c r="E90" s="64"/>
      <c r="F90" s="65" t="str">
        <f>IF(ISBLANK(E90),"",VLOOKUP(E90,R_Inf_Proy,2,0))</f>
        <v/>
      </c>
      <c r="G90" s="65" t="str">
        <f>IF(ISBLANK(E90),"",VLOOKUP(E90,R_Inf_Proy,3,0))</f>
        <v/>
      </c>
      <c r="H90" s="86"/>
      <c r="I90" s="86"/>
      <c r="J90" s="86"/>
      <c r="K90" s="66"/>
      <c r="L90" s="87"/>
      <c r="M90" s="87"/>
      <c r="N90" s="87"/>
      <c r="O90" s="81"/>
      <c r="P90" s="81"/>
      <c r="Q90" s="82"/>
      <c r="R90" s="83"/>
      <c r="S90" s="83"/>
      <c r="T90" s="81"/>
      <c r="U90" s="81"/>
      <c r="V90" s="81"/>
      <c r="W90" s="81"/>
      <c r="X90" s="82"/>
      <c r="Y90" s="83"/>
      <c r="Z90" s="83"/>
      <c r="AA90" s="83"/>
      <c r="AB90" s="73"/>
      <c r="AC90" s="85"/>
      <c r="AD90" s="85"/>
      <c r="AE90" s="85"/>
      <c r="AF90" s="85"/>
      <c r="AG90" s="85"/>
      <c r="AH90" s="85"/>
      <c r="AI90" s="73"/>
      <c r="AJ90" s="73"/>
      <c r="AK90" s="74"/>
      <c r="AL90" s="75"/>
      <c r="AM90" s="76" t="str">
        <f t="shared" si="2"/>
        <v/>
      </c>
      <c r="AO90" s="77" t="str">
        <f t="array" ref="AO90">INDEX(R_Proy__ObjEsp,MATCH(E90,L_Proy,0))</f>
        <v>#N/A</v>
      </c>
      <c r="AP90" s="78"/>
      <c r="AQ90" s="78"/>
      <c r="AR90" s="79"/>
      <c r="AS90" s="78" t="str">
        <f t="array" ref="AS90">INDEX(R_ObjEsp__Prod,MATCH(H90,L_ObjEsp,0))</f>
        <v>#N/A</v>
      </c>
      <c r="AT90" s="80"/>
      <c r="AU90" s="80"/>
      <c r="AV90" s="80"/>
      <c r="AW90" s="80"/>
      <c r="AX90" s="79"/>
      <c r="AY90" s="78" t="str">
        <f t="array" ref="AY90">INDEX(R_Pro__Act,MATCH(I90,L_Prod,0))</f>
        <v>#N/A</v>
      </c>
      <c r="AZ90" s="80"/>
      <c r="BA90" s="80"/>
      <c r="BB90" s="80"/>
      <c r="BC90" s="80"/>
      <c r="BD90" s="80"/>
      <c r="BE90" s="79"/>
      <c r="BF90" s="79"/>
      <c r="BG90" s="79"/>
      <c r="BH90" s="79"/>
      <c r="BI90" s="79"/>
      <c r="BJ90" s="79"/>
      <c r="BK90" s="79"/>
      <c r="BL90" s="79"/>
      <c r="BM90" s="79"/>
    </row>
    <row r="91" ht="67.5" customHeight="1">
      <c r="A91" s="39"/>
      <c r="B91" s="62">
        <v>89.0</v>
      </c>
      <c r="C91" s="85"/>
      <c r="D91" s="64"/>
      <c r="E91" s="64"/>
      <c r="F91" s="65" t="str">
        <f>IF(ISBLANK(E91),"",VLOOKUP(E91,R_Inf_Proy,2,0))</f>
        <v/>
      </c>
      <c r="G91" s="65" t="str">
        <f>IF(ISBLANK(E91),"",VLOOKUP(E91,R_Inf_Proy,3,0))</f>
        <v/>
      </c>
      <c r="H91" s="86"/>
      <c r="I91" s="86"/>
      <c r="J91" s="86"/>
      <c r="K91" s="66"/>
      <c r="L91" s="87"/>
      <c r="M91" s="87"/>
      <c r="N91" s="87"/>
      <c r="O91" s="81"/>
      <c r="P91" s="81"/>
      <c r="Q91" s="82"/>
      <c r="R91" s="83"/>
      <c r="S91" s="83"/>
      <c r="T91" s="81"/>
      <c r="U91" s="81"/>
      <c r="V91" s="81"/>
      <c r="W91" s="81"/>
      <c r="X91" s="82"/>
      <c r="Y91" s="83"/>
      <c r="Z91" s="83"/>
      <c r="AA91" s="83"/>
      <c r="AB91" s="73"/>
      <c r="AC91" s="85"/>
      <c r="AD91" s="85"/>
      <c r="AE91" s="85"/>
      <c r="AF91" s="85"/>
      <c r="AG91" s="85"/>
      <c r="AH91" s="85"/>
      <c r="AI91" s="73"/>
      <c r="AJ91" s="73"/>
      <c r="AK91" s="74"/>
      <c r="AL91" s="75"/>
      <c r="AM91" s="76" t="str">
        <f t="shared" si="2"/>
        <v/>
      </c>
      <c r="AO91" s="77" t="str">
        <f t="array" ref="AO91">INDEX(R_Proy__ObjEsp,MATCH(E91,L_Proy,0))</f>
        <v>#N/A</v>
      </c>
      <c r="AP91" s="78"/>
      <c r="AQ91" s="78"/>
      <c r="AR91" s="79"/>
      <c r="AS91" s="78" t="str">
        <f t="array" ref="AS91">INDEX(R_ObjEsp__Prod,MATCH(H91,L_ObjEsp,0))</f>
        <v>#N/A</v>
      </c>
      <c r="AT91" s="80"/>
      <c r="AU91" s="80"/>
      <c r="AV91" s="80"/>
      <c r="AW91" s="80"/>
      <c r="AX91" s="79"/>
      <c r="AY91" s="78" t="str">
        <f t="array" ref="AY91">INDEX(R_Pro__Act,MATCH(I91,L_Prod,0))</f>
        <v>#N/A</v>
      </c>
      <c r="AZ91" s="80"/>
      <c r="BA91" s="80"/>
      <c r="BB91" s="80"/>
      <c r="BC91" s="80"/>
      <c r="BD91" s="80"/>
      <c r="BE91" s="79"/>
      <c r="BF91" s="79"/>
      <c r="BG91" s="79"/>
      <c r="BH91" s="79"/>
      <c r="BI91" s="79"/>
      <c r="BJ91" s="79"/>
      <c r="BK91" s="79"/>
      <c r="BL91" s="79"/>
      <c r="BM91" s="79"/>
    </row>
    <row r="92" ht="67.5" customHeight="1">
      <c r="A92" s="39"/>
      <c r="B92" s="62">
        <v>90.0</v>
      </c>
      <c r="C92" s="85"/>
      <c r="D92" s="64"/>
      <c r="E92" s="64"/>
      <c r="F92" s="65" t="str">
        <f>IF(ISBLANK(E92),"",VLOOKUP(E92,R_Inf_Proy,2,0))</f>
        <v/>
      </c>
      <c r="G92" s="65" t="str">
        <f>IF(ISBLANK(E92),"",VLOOKUP(E92,R_Inf_Proy,3,0))</f>
        <v/>
      </c>
      <c r="H92" s="86"/>
      <c r="I92" s="86"/>
      <c r="J92" s="86"/>
      <c r="K92" s="66"/>
      <c r="L92" s="87"/>
      <c r="M92" s="87"/>
      <c r="N92" s="87"/>
      <c r="O92" s="81"/>
      <c r="P92" s="81"/>
      <c r="Q92" s="82"/>
      <c r="R92" s="83"/>
      <c r="S92" s="83"/>
      <c r="T92" s="81"/>
      <c r="U92" s="81"/>
      <c r="V92" s="81"/>
      <c r="W92" s="81"/>
      <c r="X92" s="82"/>
      <c r="Y92" s="83"/>
      <c r="Z92" s="83"/>
      <c r="AA92" s="83"/>
      <c r="AB92" s="73"/>
      <c r="AC92" s="85"/>
      <c r="AD92" s="85"/>
      <c r="AE92" s="85"/>
      <c r="AF92" s="85"/>
      <c r="AG92" s="85"/>
      <c r="AH92" s="85"/>
      <c r="AI92" s="73"/>
      <c r="AJ92" s="73"/>
      <c r="AK92" s="74"/>
      <c r="AL92" s="75"/>
      <c r="AM92" s="76" t="str">
        <f t="shared" si="2"/>
        <v/>
      </c>
      <c r="AO92" s="77" t="str">
        <f t="array" ref="AO92">INDEX(R_Proy__ObjEsp,MATCH(E92,L_Proy,0))</f>
        <v>#N/A</v>
      </c>
      <c r="AP92" s="78"/>
      <c r="AQ92" s="78"/>
      <c r="AR92" s="79"/>
      <c r="AS92" s="78" t="str">
        <f t="array" ref="AS92">INDEX(R_ObjEsp__Prod,MATCH(H92,L_ObjEsp,0))</f>
        <v>#N/A</v>
      </c>
      <c r="AT92" s="80"/>
      <c r="AU92" s="80"/>
      <c r="AV92" s="80"/>
      <c r="AW92" s="80"/>
      <c r="AX92" s="79"/>
      <c r="AY92" s="78" t="str">
        <f t="array" ref="AY92">INDEX(R_Pro__Act,MATCH(I92,L_Prod,0))</f>
        <v>#N/A</v>
      </c>
      <c r="AZ92" s="80"/>
      <c r="BA92" s="80"/>
      <c r="BB92" s="80"/>
      <c r="BC92" s="80"/>
      <c r="BD92" s="80"/>
      <c r="BE92" s="79"/>
      <c r="BF92" s="79"/>
      <c r="BG92" s="79"/>
      <c r="BH92" s="79"/>
      <c r="BI92" s="79"/>
      <c r="BJ92" s="79"/>
      <c r="BK92" s="79"/>
      <c r="BL92" s="79"/>
      <c r="BM92" s="79"/>
    </row>
    <row r="93" ht="67.5" customHeight="1">
      <c r="A93" s="39"/>
      <c r="B93" s="62">
        <v>91.0</v>
      </c>
      <c r="C93" s="85"/>
      <c r="D93" s="64"/>
      <c r="E93" s="64"/>
      <c r="F93" s="65" t="str">
        <f>IF(ISBLANK(E93),"",VLOOKUP(E93,R_Inf_Proy,2,0))</f>
        <v/>
      </c>
      <c r="G93" s="65" t="str">
        <f>IF(ISBLANK(E93),"",VLOOKUP(E93,R_Inf_Proy,3,0))</f>
        <v/>
      </c>
      <c r="H93" s="86"/>
      <c r="I93" s="86"/>
      <c r="J93" s="86"/>
      <c r="K93" s="66"/>
      <c r="L93" s="87"/>
      <c r="M93" s="87"/>
      <c r="N93" s="87"/>
      <c r="O93" s="81"/>
      <c r="P93" s="81"/>
      <c r="Q93" s="82"/>
      <c r="R93" s="83"/>
      <c r="S93" s="83"/>
      <c r="T93" s="81"/>
      <c r="U93" s="81"/>
      <c r="V93" s="81"/>
      <c r="W93" s="81"/>
      <c r="X93" s="82"/>
      <c r="Y93" s="83"/>
      <c r="Z93" s="83"/>
      <c r="AA93" s="83"/>
      <c r="AB93" s="73"/>
      <c r="AC93" s="85"/>
      <c r="AD93" s="85"/>
      <c r="AE93" s="85"/>
      <c r="AF93" s="85"/>
      <c r="AG93" s="85"/>
      <c r="AH93" s="85"/>
      <c r="AI93" s="73"/>
      <c r="AJ93" s="73"/>
      <c r="AK93" s="74"/>
      <c r="AL93" s="75"/>
      <c r="AM93" s="76" t="str">
        <f t="shared" si="2"/>
        <v/>
      </c>
      <c r="AO93" s="77" t="str">
        <f t="array" ref="AO93">INDEX(R_Proy__ObjEsp,MATCH(E93,L_Proy,0))</f>
        <v>#N/A</v>
      </c>
      <c r="AP93" s="78"/>
      <c r="AQ93" s="78"/>
      <c r="AR93" s="79"/>
      <c r="AS93" s="78" t="str">
        <f t="array" ref="AS93">INDEX(R_ObjEsp__Prod,MATCH(H93,L_ObjEsp,0))</f>
        <v>#N/A</v>
      </c>
      <c r="AT93" s="80"/>
      <c r="AU93" s="80"/>
      <c r="AV93" s="80"/>
      <c r="AW93" s="80"/>
      <c r="AX93" s="79"/>
      <c r="AY93" s="78" t="str">
        <f t="array" ref="AY93">INDEX(R_Pro__Act,MATCH(I93,L_Prod,0))</f>
        <v>#N/A</v>
      </c>
      <c r="AZ93" s="80"/>
      <c r="BA93" s="80"/>
      <c r="BB93" s="80"/>
      <c r="BC93" s="80"/>
      <c r="BD93" s="80"/>
      <c r="BE93" s="79"/>
      <c r="BF93" s="79"/>
      <c r="BG93" s="79"/>
      <c r="BH93" s="79"/>
      <c r="BI93" s="79"/>
      <c r="BJ93" s="79"/>
      <c r="BK93" s="79"/>
      <c r="BL93" s="79"/>
      <c r="BM93" s="79"/>
    </row>
    <row r="94" ht="67.5" customHeight="1">
      <c r="A94" s="39"/>
      <c r="B94" s="62">
        <v>92.0</v>
      </c>
      <c r="C94" s="85"/>
      <c r="D94" s="64"/>
      <c r="E94" s="64"/>
      <c r="F94" s="65" t="str">
        <f>IF(ISBLANK(E94),"",VLOOKUP(E94,R_Inf_Proy,2,0))</f>
        <v/>
      </c>
      <c r="G94" s="65" t="str">
        <f>IF(ISBLANK(E94),"",VLOOKUP(E94,R_Inf_Proy,3,0))</f>
        <v/>
      </c>
      <c r="H94" s="86"/>
      <c r="I94" s="86"/>
      <c r="J94" s="86"/>
      <c r="K94" s="66"/>
      <c r="L94" s="87"/>
      <c r="M94" s="87"/>
      <c r="N94" s="87"/>
      <c r="O94" s="81"/>
      <c r="P94" s="81"/>
      <c r="Q94" s="82"/>
      <c r="R94" s="83"/>
      <c r="S94" s="83"/>
      <c r="T94" s="81"/>
      <c r="U94" s="81"/>
      <c r="V94" s="81"/>
      <c r="W94" s="81"/>
      <c r="X94" s="82"/>
      <c r="Y94" s="83"/>
      <c r="Z94" s="83"/>
      <c r="AA94" s="83"/>
      <c r="AB94" s="73"/>
      <c r="AC94" s="85"/>
      <c r="AD94" s="85"/>
      <c r="AE94" s="85"/>
      <c r="AF94" s="85"/>
      <c r="AG94" s="85"/>
      <c r="AH94" s="85"/>
      <c r="AI94" s="73"/>
      <c r="AJ94" s="73"/>
      <c r="AK94" s="74"/>
      <c r="AL94" s="75"/>
      <c r="AM94" s="76" t="str">
        <f t="shared" si="2"/>
        <v/>
      </c>
      <c r="AO94" s="77" t="str">
        <f t="array" ref="AO94">INDEX(R_Proy__ObjEsp,MATCH(E94,L_Proy,0))</f>
        <v>#N/A</v>
      </c>
      <c r="AP94" s="78"/>
      <c r="AQ94" s="78"/>
      <c r="AR94" s="79"/>
      <c r="AS94" s="78" t="str">
        <f t="array" ref="AS94">INDEX(R_ObjEsp__Prod,MATCH(H94,L_ObjEsp,0))</f>
        <v>#N/A</v>
      </c>
      <c r="AT94" s="80"/>
      <c r="AU94" s="80"/>
      <c r="AV94" s="80"/>
      <c r="AW94" s="80"/>
      <c r="AX94" s="79"/>
      <c r="AY94" s="78" t="str">
        <f t="array" ref="AY94">INDEX(R_Pro__Act,MATCH(I94,L_Prod,0))</f>
        <v>#N/A</v>
      </c>
      <c r="AZ94" s="80"/>
      <c r="BA94" s="80"/>
      <c r="BB94" s="80"/>
      <c r="BC94" s="80"/>
      <c r="BD94" s="80"/>
      <c r="BE94" s="79"/>
      <c r="BF94" s="79"/>
      <c r="BG94" s="79"/>
      <c r="BH94" s="79"/>
      <c r="BI94" s="79"/>
      <c r="BJ94" s="79"/>
      <c r="BK94" s="79"/>
      <c r="BL94" s="79"/>
      <c r="BM94" s="79"/>
    </row>
    <row r="95" ht="67.5" customHeight="1">
      <c r="A95" s="39"/>
      <c r="B95" s="62">
        <v>93.0</v>
      </c>
      <c r="C95" s="85"/>
      <c r="D95" s="64"/>
      <c r="E95" s="64"/>
      <c r="F95" s="65" t="str">
        <f>IF(ISBLANK(E95),"",VLOOKUP(E95,R_Inf_Proy,2,0))</f>
        <v/>
      </c>
      <c r="G95" s="65" t="str">
        <f>IF(ISBLANK(E95),"",VLOOKUP(E95,R_Inf_Proy,3,0))</f>
        <v/>
      </c>
      <c r="H95" s="86"/>
      <c r="I95" s="86"/>
      <c r="J95" s="86"/>
      <c r="K95" s="66"/>
      <c r="L95" s="87"/>
      <c r="M95" s="87"/>
      <c r="N95" s="87"/>
      <c r="O95" s="81"/>
      <c r="P95" s="81"/>
      <c r="Q95" s="82"/>
      <c r="R95" s="83"/>
      <c r="S95" s="83"/>
      <c r="T95" s="81"/>
      <c r="U95" s="81"/>
      <c r="V95" s="81"/>
      <c r="W95" s="81"/>
      <c r="X95" s="82"/>
      <c r="Y95" s="83"/>
      <c r="Z95" s="83"/>
      <c r="AA95" s="83"/>
      <c r="AB95" s="73"/>
      <c r="AC95" s="85"/>
      <c r="AD95" s="85"/>
      <c r="AE95" s="85"/>
      <c r="AF95" s="85"/>
      <c r="AG95" s="85"/>
      <c r="AH95" s="85"/>
      <c r="AI95" s="73"/>
      <c r="AJ95" s="73"/>
      <c r="AK95" s="74"/>
      <c r="AL95" s="75"/>
      <c r="AM95" s="76" t="str">
        <f t="shared" si="2"/>
        <v/>
      </c>
      <c r="AO95" s="77" t="str">
        <f t="array" ref="AO95">INDEX(R_Proy__ObjEsp,MATCH(E95,L_Proy,0))</f>
        <v>#N/A</v>
      </c>
      <c r="AP95" s="78"/>
      <c r="AQ95" s="78"/>
      <c r="AR95" s="79"/>
      <c r="AS95" s="78" t="str">
        <f t="array" ref="AS95">INDEX(R_ObjEsp__Prod,MATCH(H95,L_ObjEsp,0))</f>
        <v>#N/A</v>
      </c>
      <c r="AT95" s="80"/>
      <c r="AU95" s="80"/>
      <c r="AV95" s="80"/>
      <c r="AW95" s="80"/>
      <c r="AX95" s="79"/>
      <c r="AY95" s="78" t="str">
        <f t="array" ref="AY95">INDEX(R_Pro__Act,MATCH(I95,L_Prod,0))</f>
        <v>#N/A</v>
      </c>
      <c r="AZ95" s="80"/>
      <c r="BA95" s="80"/>
      <c r="BB95" s="80"/>
      <c r="BC95" s="80"/>
      <c r="BD95" s="80"/>
      <c r="BE95" s="79"/>
      <c r="BF95" s="79"/>
      <c r="BG95" s="79"/>
      <c r="BH95" s="79"/>
      <c r="BI95" s="79"/>
      <c r="BJ95" s="79"/>
      <c r="BK95" s="79"/>
      <c r="BL95" s="79"/>
      <c r="BM95" s="79"/>
    </row>
    <row r="96" ht="67.5" customHeight="1">
      <c r="A96" s="39"/>
      <c r="B96" s="62">
        <v>94.0</v>
      </c>
      <c r="C96" s="85"/>
      <c r="D96" s="64"/>
      <c r="E96" s="64"/>
      <c r="F96" s="65" t="str">
        <f>IF(ISBLANK(E96),"",VLOOKUP(E96,R_Inf_Proy,2,0))</f>
        <v/>
      </c>
      <c r="G96" s="65" t="str">
        <f>IF(ISBLANK(E96),"",VLOOKUP(E96,R_Inf_Proy,3,0))</f>
        <v/>
      </c>
      <c r="H96" s="86"/>
      <c r="I96" s="86"/>
      <c r="J96" s="86"/>
      <c r="K96" s="66"/>
      <c r="L96" s="87"/>
      <c r="M96" s="87"/>
      <c r="N96" s="87"/>
      <c r="O96" s="81"/>
      <c r="P96" s="81"/>
      <c r="Q96" s="82"/>
      <c r="R96" s="83"/>
      <c r="S96" s="83"/>
      <c r="T96" s="81"/>
      <c r="U96" s="81"/>
      <c r="V96" s="81"/>
      <c r="W96" s="81"/>
      <c r="X96" s="82"/>
      <c r="Y96" s="83"/>
      <c r="Z96" s="83"/>
      <c r="AA96" s="83"/>
      <c r="AB96" s="73"/>
      <c r="AC96" s="85"/>
      <c r="AD96" s="85"/>
      <c r="AE96" s="85"/>
      <c r="AF96" s="85"/>
      <c r="AG96" s="85"/>
      <c r="AH96" s="85"/>
      <c r="AI96" s="73"/>
      <c r="AJ96" s="73"/>
      <c r="AK96" s="74"/>
      <c r="AL96" s="75"/>
      <c r="AM96" s="76" t="str">
        <f t="shared" si="2"/>
        <v/>
      </c>
      <c r="AO96" s="77" t="str">
        <f t="array" ref="AO96">INDEX(R_Proy__ObjEsp,MATCH(E96,L_Proy,0))</f>
        <v>#N/A</v>
      </c>
      <c r="AP96" s="78"/>
      <c r="AQ96" s="78"/>
      <c r="AR96" s="79"/>
      <c r="AS96" s="78" t="str">
        <f t="array" ref="AS96">INDEX(R_ObjEsp__Prod,MATCH(H96,L_ObjEsp,0))</f>
        <v>#N/A</v>
      </c>
      <c r="AT96" s="80"/>
      <c r="AU96" s="80"/>
      <c r="AV96" s="80"/>
      <c r="AW96" s="80"/>
      <c r="AX96" s="79"/>
      <c r="AY96" s="78" t="str">
        <f t="array" ref="AY96">INDEX(R_Pro__Act,MATCH(I96,L_Prod,0))</f>
        <v>#N/A</v>
      </c>
      <c r="AZ96" s="80"/>
      <c r="BA96" s="80"/>
      <c r="BB96" s="80"/>
      <c r="BC96" s="80"/>
      <c r="BD96" s="80"/>
      <c r="BE96" s="79"/>
      <c r="BF96" s="79"/>
      <c r="BG96" s="79"/>
      <c r="BH96" s="79"/>
      <c r="BI96" s="79"/>
      <c r="BJ96" s="79"/>
      <c r="BK96" s="79"/>
      <c r="BL96" s="79"/>
      <c r="BM96" s="79"/>
    </row>
    <row r="97" ht="67.5" customHeight="1">
      <c r="A97" s="39"/>
      <c r="B97" s="62">
        <v>95.0</v>
      </c>
      <c r="C97" s="85"/>
      <c r="D97" s="64"/>
      <c r="E97" s="64"/>
      <c r="F97" s="65" t="str">
        <f>IF(ISBLANK(E97),"",VLOOKUP(E97,R_Inf_Proy,2,0))</f>
        <v/>
      </c>
      <c r="G97" s="65" t="str">
        <f>IF(ISBLANK(E97),"",VLOOKUP(E97,R_Inf_Proy,3,0))</f>
        <v/>
      </c>
      <c r="H97" s="86"/>
      <c r="I97" s="86"/>
      <c r="J97" s="86"/>
      <c r="K97" s="66"/>
      <c r="L97" s="87"/>
      <c r="M97" s="87"/>
      <c r="N97" s="87"/>
      <c r="O97" s="81"/>
      <c r="P97" s="81"/>
      <c r="Q97" s="82"/>
      <c r="R97" s="83"/>
      <c r="S97" s="83"/>
      <c r="T97" s="81"/>
      <c r="U97" s="81"/>
      <c r="V97" s="81"/>
      <c r="W97" s="81"/>
      <c r="X97" s="82"/>
      <c r="Y97" s="83"/>
      <c r="Z97" s="83"/>
      <c r="AA97" s="83"/>
      <c r="AB97" s="73"/>
      <c r="AC97" s="85"/>
      <c r="AD97" s="85"/>
      <c r="AE97" s="85"/>
      <c r="AF97" s="85"/>
      <c r="AG97" s="85"/>
      <c r="AH97" s="85"/>
      <c r="AI97" s="73"/>
      <c r="AJ97" s="73"/>
      <c r="AK97" s="74"/>
      <c r="AL97" s="75"/>
      <c r="AM97" s="76" t="str">
        <f t="shared" si="2"/>
        <v/>
      </c>
      <c r="AO97" s="77" t="str">
        <f t="array" ref="AO97">INDEX(R_Proy__ObjEsp,MATCH(E97,L_Proy,0))</f>
        <v>#N/A</v>
      </c>
      <c r="AP97" s="78"/>
      <c r="AQ97" s="78"/>
      <c r="AR97" s="79"/>
      <c r="AS97" s="78" t="str">
        <f t="array" ref="AS97">INDEX(R_ObjEsp__Prod,MATCH(H97,L_ObjEsp,0))</f>
        <v>#N/A</v>
      </c>
      <c r="AT97" s="80"/>
      <c r="AU97" s="80"/>
      <c r="AV97" s="80"/>
      <c r="AW97" s="80"/>
      <c r="AX97" s="79"/>
      <c r="AY97" s="78" t="str">
        <f t="array" ref="AY97">INDEX(R_Pro__Act,MATCH(I97,L_Prod,0))</f>
        <v>#N/A</v>
      </c>
      <c r="AZ97" s="80"/>
      <c r="BA97" s="80"/>
      <c r="BB97" s="80"/>
      <c r="BC97" s="80"/>
      <c r="BD97" s="80"/>
      <c r="BE97" s="79"/>
      <c r="BF97" s="79"/>
      <c r="BG97" s="79"/>
      <c r="BH97" s="79"/>
      <c r="BI97" s="79"/>
      <c r="BJ97" s="79"/>
      <c r="BK97" s="79"/>
      <c r="BL97" s="79"/>
      <c r="BM97" s="79"/>
    </row>
    <row r="98" ht="67.5" customHeight="1">
      <c r="A98" s="39"/>
      <c r="B98" s="62">
        <v>96.0</v>
      </c>
      <c r="C98" s="85"/>
      <c r="D98" s="64"/>
      <c r="E98" s="64"/>
      <c r="F98" s="65" t="str">
        <f>IF(ISBLANK(E98),"",VLOOKUP(E98,R_Inf_Proy,2,0))</f>
        <v/>
      </c>
      <c r="G98" s="65" t="str">
        <f>IF(ISBLANK(E98),"",VLOOKUP(E98,R_Inf_Proy,3,0))</f>
        <v/>
      </c>
      <c r="H98" s="86"/>
      <c r="I98" s="86"/>
      <c r="J98" s="86"/>
      <c r="K98" s="66"/>
      <c r="L98" s="87"/>
      <c r="M98" s="87"/>
      <c r="N98" s="87"/>
      <c r="O98" s="81"/>
      <c r="P98" s="81"/>
      <c r="Q98" s="82"/>
      <c r="R98" s="83"/>
      <c r="S98" s="83"/>
      <c r="T98" s="81"/>
      <c r="U98" s="81"/>
      <c r="V98" s="81"/>
      <c r="W98" s="81"/>
      <c r="X98" s="82"/>
      <c r="Y98" s="83"/>
      <c r="Z98" s="83"/>
      <c r="AA98" s="83"/>
      <c r="AB98" s="73"/>
      <c r="AC98" s="85"/>
      <c r="AD98" s="85"/>
      <c r="AE98" s="85"/>
      <c r="AF98" s="85"/>
      <c r="AG98" s="85"/>
      <c r="AH98" s="85"/>
      <c r="AI98" s="73"/>
      <c r="AJ98" s="73"/>
      <c r="AK98" s="74"/>
      <c r="AL98" s="75"/>
      <c r="AM98" s="76" t="str">
        <f t="shared" si="2"/>
        <v/>
      </c>
      <c r="AO98" s="77" t="str">
        <f t="array" ref="AO98">INDEX(R_Proy__ObjEsp,MATCH(E98,L_Proy,0))</f>
        <v>#N/A</v>
      </c>
      <c r="AP98" s="78"/>
      <c r="AQ98" s="78"/>
      <c r="AR98" s="79"/>
      <c r="AS98" s="78" t="str">
        <f t="array" ref="AS98">INDEX(R_ObjEsp__Prod,MATCH(H98,L_ObjEsp,0))</f>
        <v>#N/A</v>
      </c>
      <c r="AT98" s="80"/>
      <c r="AU98" s="80"/>
      <c r="AV98" s="80"/>
      <c r="AW98" s="80"/>
      <c r="AX98" s="79"/>
      <c r="AY98" s="78" t="str">
        <f t="array" ref="AY98">INDEX(R_Pro__Act,MATCH(I98,L_Prod,0))</f>
        <v>#N/A</v>
      </c>
      <c r="AZ98" s="80"/>
      <c r="BA98" s="80"/>
      <c r="BB98" s="80"/>
      <c r="BC98" s="80"/>
      <c r="BD98" s="80"/>
      <c r="BE98" s="79"/>
      <c r="BF98" s="79"/>
      <c r="BG98" s="79"/>
      <c r="BH98" s="79"/>
      <c r="BI98" s="79"/>
      <c r="BJ98" s="79"/>
      <c r="BK98" s="79"/>
      <c r="BL98" s="79"/>
      <c r="BM98" s="79"/>
    </row>
    <row r="99" ht="67.5" customHeight="1">
      <c r="A99" s="39"/>
      <c r="B99" s="62">
        <v>97.0</v>
      </c>
      <c r="C99" s="85"/>
      <c r="D99" s="64"/>
      <c r="E99" s="64"/>
      <c r="F99" s="65" t="str">
        <f>IF(ISBLANK(E99),"",VLOOKUP(E99,R_Inf_Proy,2,0))</f>
        <v/>
      </c>
      <c r="G99" s="65" t="str">
        <f>IF(ISBLANK(E99),"",VLOOKUP(E99,R_Inf_Proy,3,0))</f>
        <v/>
      </c>
      <c r="H99" s="86"/>
      <c r="I99" s="86"/>
      <c r="J99" s="86"/>
      <c r="K99" s="66"/>
      <c r="L99" s="87"/>
      <c r="M99" s="87"/>
      <c r="N99" s="87" t="str">
        <f>IF(K99="PRODUCTO",RIGHT(VLOOKUP(I99,R_Ind_Prod,2,0),LEN(VLOOKUP(I99,R_Ind_Prod,2,0))-12),IF(K99="GESTIÓN",RIGHT(VLOOKUP(E99,R_Ind_Gest,12,0),LEN(VLOOKUP(E99,R_Ind_Gest,12,0))-11),""))</f>
        <v/>
      </c>
      <c r="O99" s="81"/>
      <c r="P99" s="81"/>
      <c r="Q99" s="82"/>
      <c r="R99" s="83"/>
      <c r="S99" s="83"/>
      <c r="T99" s="81"/>
      <c r="U99" s="81"/>
      <c r="V99" s="81"/>
      <c r="W99" s="81"/>
      <c r="X99" s="82"/>
      <c r="Y99" s="83"/>
      <c r="Z99" s="83"/>
      <c r="AA99" s="83"/>
      <c r="AB99" s="73"/>
      <c r="AC99" s="85"/>
      <c r="AD99" s="85"/>
      <c r="AE99" s="85"/>
      <c r="AF99" s="85"/>
      <c r="AG99" s="85"/>
      <c r="AH99" s="85"/>
      <c r="AI99" s="73"/>
      <c r="AJ99" s="73"/>
      <c r="AK99" s="74"/>
      <c r="AL99" s="75"/>
      <c r="AM99" s="76" t="str">
        <f t="shared" si="2"/>
        <v/>
      </c>
      <c r="AO99" s="77" t="str">
        <f t="array" ref="AO99">INDEX(R_Proy__ObjEsp,MATCH(E99,L_Proy,0))</f>
        <v>#N/A</v>
      </c>
      <c r="AP99" s="78"/>
      <c r="AQ99" s="78"/>
      <c r="AR99" s="79"/>
      <c r="AS99" s="78" t="str">
        <f t="array" ref="AS99">INDEX(R_ObjEsp__Prod,MATCH(H99,L_ObjEsp,0))</f>
        <v>#N/A</v>
      </c>
      <c r="AT99" s="80"/>
      <c r="AU99" s="80"/>
      <c r="AV99" s="80"/>
      <c r="AW99" s="80"/>
      <c r="AX99" s="79"/>
      <c r="AY99" s="78" t="str">
        <f t="array" ref="AY99">INDEX(R_Pro__Act,MATCH(I99,L_Prod,0))</f>
        <v>#N/A</v>
      </c>
      <c r="AZ99" s="80"/>
      <c r="BA99" s="80"/>
      <c r="BB99" s="80"/>
      <c r="BC99" s="80"/>
      <c r="BD99" s="80"/>
      <c r="BE99" s="79"/>
      <c r="BF99" s="79"/>
      <c r="BG99" s="79"/>
      <c r="BH99" s="79"/>
      <c r="BI99" s="79"/>
      <c r="BJ99" s="79"/>
      <c r="BK99" s="79"/>
      <c r="BL99" s="79"/>
      <c r="BM99" s="79"/>
    </row>
    <row r="100" ht="67.5" customHeight="1">
      <c r="A100" s="39"/>
      <c r="B100" s="62">
        <v>98.0</v>
      </c>
      <c r="C100" s="85"/>
      <c r="D100" s="64"/>
      <c r="E100" s="64"/>
      <c r="F100" s="65" t="str">
        <f>IF(ISBLANK(E100),"",VLOOKUP(E100,R_Inf_Proy,2,0))</f>
        <v/>
      </c>
      <c r="G100" s="65" t="str">
        <f>IF(ISBLANK(E100),"",VLOOKUP(E100,R_Inf_Proy,3,0))</f>
        <v/>
      </c>
      <c r="H100" s="86"/>
      <c r="I100" s="86"/>
      <c r="J100" s="86"/>
      <c r="K100" s="66"/>
      <c r="L100" s="87"/>
      <c r="M100" s="87"/>
      <c r="N100" s="87" t="str">
        <f>IF(K100="PRODUCTO",RIGHT(VLOOKUP(I100,R_Ind_Prod,2,0),LEN(VLOOKUP(I100,R_Ind_Prod,2,0))-12),IF(K100="GESTIÓN",RIGHT(VLOOKUP(E100,R_Ind_Gest,12,0),LEN(VLOOKUP(E100,R_Ind_Gest,12,0))-11),""))</f>
        <v/>
      </c>
      <c r="O100" s="81"/>
      <c r="P100" s="81"/>
      <c r="Q100" s="82"/>
      <c r="R100" s="83"/>
      <c r="S100" s="83"/>
      <c r="T100" s="81"/>
      <c r="U100" s="81"/>
      <c r="V100" s="81"/>
      <c r="W100" s="81"/>
      <c r="X100" s="82"/>
      <c r="Y100" s="83"/>
      <c r="Z100" s="83"/>
      <c r="AA100" s="83"/>
      <c r="AB100" s="73"/>
      <c r="AC100" s="85"/>
      <c r="AD100" s="85"/>
      <c r="AE100" s="85"/>
      <c r="AF100" s="85"/>
      <c r="AG100" s="85"/>
      <c r="AH100" s="85"/>
      <c r="AI100" s="73"/>
      <c r="AJ100" s="73"/>
      <c r="AK100" s="74"/>
      <c r="AL100" s="75"/>
      <c r="AM100" s="76" t="str">
        <f t="shared" si="2"/>
        <v/>
      </c>
      <c r="AO100" s="77" t="str">
        <f t="array" ref="AO100">INDEX(R_Proy__ObjEsp,MATCH(E100,L_Proy,0))</f>
        <v>#N/A</v>
      </c>
      <c r="AP100" s="78"/>
      <c r="AQ100" s="78"/>
      <c r="AR100" s="79"/>
      <c r="AS100" s="78" t="str">
        <f t="array" ref="AS100">INDEX(R_ObjEsp__Prod,MATCH(H100,L_ObjEsp,0))</f>
        <v>#N/A</v>
      </c>
      <c r="AT100" s="80"/>
      <c r="AU100" s="80"/>
      <c r="AV100" s="80"/>
      <c r="AW100" s="80"/>
      <c r="AX100" s="79"/>
      <c r="AY100" s="78" t="str">
        <f t="array" ref="AY100">INDEX(R_Pro__Act,MATCH(I100,L_Prod,0))</f>
        <v>#N/A</v>
      </c>
      <c r="AZ100" s="80"/>
      <c r="BA100" s="80"/>
      <c r="BB100" s="80"/>
      <c r="BC100" s="80"/>
      <c r="BD100" s="80"/>
      <c r="BE100" s="79"/>
      <c r="BF100" s="79"/>
      <c r="BG100" s="79"/>
      <c r="BH100" s="79"/>
      <c r="BI100" s="79"/>
      <c r="BJ100" s="79"/>
      <c r="BK100" s="79"/>
      <c r="BL100" s="79"/>
      <c r="BM100" s="79"/>
    </row>
    <row r="101" ht="67.5" customHeight="1">
      <c r="A101" s="39"/>
      <c r="B101" s="62">
        <v>99.0</v>
      </c>
      <c r="C101" s="63"/>
      <c r="D101" s="64"/>
      <c r="E101" s="64"/>
      <c r="F101" s="65" t="str">
        <f>IF(ISBLANK(E101),"",VLOOKUP(E101,R_Inf_Proy,2,0))</f>
        <v/>
      </c>
      <c r="G101" s="65" t="str">
        <f>IF(ISBLANK(E101),"",VLOOKUP(E101,R_Inf_Proy,3,0))</f>
        <v/>
      </c>
      <c r="H101" s="86"/>
      <c r="I101" s="86"/>
      <c r="J101" s="86"/>
      <c r="K101" s="66"/>
      <c r="L101" s="87"/>
      <c r="M101" s="87"/>
      <c r="N101" s="87" t="str">
        <f>IF(K101="PRODUCTO",RIGHT(VLOOKUP(I101,R_Ind_Prod,2,0),LEN(VLOOKUP(I101,R_Ind_Prod,2,0))-12),IF(K101="GESTIÓN",RIGHT(VLOOKUP(E101,R_Ind_Gest,12,0),LEN(VLOOKUP(E101,R_Ind_Gest,12,0))-11),""))</f>
        <v/>
      </c>
      <c r="O101" s="81"/>
      <c r="P101" s="81"/>
      <c r="Q101" s="82"/>
      <c r="R101" s="83"/>
      <c r="S101" s="83"/>
      <c r="T101" s="81"/>
      <c r="U101" s="81"/>
      <c r="V101" s="81"/>
      <c r="W101" s="81"/>
      <c r="X101" s="82"/>
      <c r="Y101" s="83"/>
      <c r="Z101" s="83"/>
      <c r="AA101" s="83"/>
      <c r="AB101" s="73"/>
      <c r="AC101" s="85"/>
      <c r="AD101" s="85"/>
      <c r="AE101" s="85"/>
      <c r="AF101" s="85"/>
      <c r="AG101" s="85"/>
      <c r="AH101" s="85"/>
      <c r="AI101" s="73"/>
      <c r="AJ101" s="73"/>
      <c r="AK101" s="74"/>
      <c r="AL101" s="75"/>
      <c r="AM101" s="76" t="str">
        <f t="shared" si="2"/>
        <v/>
      </c>
      <c r="AO101" s="77" t="str">
        <f t="array" ref="AO101">INDEX(R_Proy__ObjEsp,MATCH(E101,L_Proy,0))</f>
        <v>#N/A</v>
      </c>
      <c r="AP101" s="78"/>
      <c r="AQ101" s="78"/>
      <c r="AR101" s="79"/>
      <c r="AS101" s="78" t="str">
        <f t="array" ref="AS101">INDEX(R_ObjEsp__Prod,MATCH(H101,L_ObjEsp,0))</f>
        <v>#N/A</v>
      </c>
      <c r="AT101" s="80"/>
      <c r="AU101" s="80"/>
      <c r="AV101" s="80"/>
      <c r="AW101" s="80"/>
      <c r="AX101" s="79"/>
      <c r="AY101" s="78" t="str">
        <f t="array" ref="AY101">INDEX(R_Pro__Act,MATCH(I101,L_Prod,0))</f>
        <v>#N/A</v>
      </c>
      <c r="AZ101" s="80"/>
      <c r="BA101" s="80"/>
      <c r="BB101" s="80"/>
      <c r="BC101" s="80"/>
      <c r="BD101" s="80"/>
      <c r="BE101" s="79"/>
      <c r="BF101" s="79"/>
      <c r="BG101" s="79"/>
      <c r="BH101" s="79"/>
      <c r="BI101" s="79"/>
      <c r="BJ101" s="79"/>
      <c r="BK101" s="79"/>
      <c r="BL101" s="79"/>
      <c r="BM101" s="79"/>
    </row>
    <row r="102" ht="67.5" customHeight="1">
      <c r="A102" s="39"/>
      <c r="B102" s="88">
        <v>100.0</v>
      </c>
      <c r="C102" s="89"/>
      <c r="D102" s="90"/>
      <c r="E102" s="90"/>
      <c r="F102" s="91" t="str">
        <f>IF(ISBLANK(E102),"",VLOOKUP(E102,R_Inf_Proy,2,0))</f>
        <v/>
      </c>
      <c r="G102" s="91" t="str">
        <f>IF(ISBLANK(E102),"",VLOOKUP(E102,R_Inf_Proy,3,0))</f>
        <v/>
      </c>
      <c r="H102" s="92"/>
      <c r="I102" s="92"/>
      <c r="J102" s="92"/>
      <c r="K102" s="93"/>
      <c r="L102" s="94"/>
      <c r="M102" s="94"/>
      <c r="N102" s="94" t="str">
        <f>IF(K102="PRODUCTO",RIGHT(VLOOKUP(I102,R_Ind_Prod,2,0),LEN(VLOOKUP(I102,R_Ind_Prod,2,0))-12),IF(K102="GESTIÓN",RIGHT(VLOOKUP(E102,R_Ind_Gest,12,0),LEN(VLOOKUP(E102,R_Ind_Gest,12,0))-11),""))</f>
        <v/>
      </c>
      <c r="O102" s="95"/>
      <c r="P102" s="96"/>
      <c r="Q102" s="97"/>
      <c r="R102" s="98"/>
      <c r="S102" s="98"/>
      <c r="T102" s="95"/>
      <c r="U102" s="95"/>
      <c r="V102" s="95"/>
      <c r="W102" s="95"/>
      <c r="X102" s="97"/>
      <c r="Y102" s="98"/>
      <c r="Z102" s="98"/>
      <c r="AA102" s="98"/>
      <c r="AB102" s="99"/>
      <c r="AC102" s="89"/>
      <c r="AD102" s="89"/>
      <c r="AE102" s="89"/>
      <c r="AF102" s="89"/>
      <c r="AG102" s="89"/>
      <c r="AH102" s="89"/>
      <c r="AI102" s="99"/>
      <c r="AJ102" s="99"/>
      <c r="AK102" s="100"/>
      <c r="AL102" s="101"/>
      <c r="AM102" s="102"/>
      <c r="AO102" s="77" t="str">
        <f t="array" ref="AO102">INDEX(R_Proy__ObjEsp,MATCH(E102,L_Proy,0))</f>
        <v>#N/A</v>
      </c>
      <c r="AP102" s="78"/>
      <c r="AQ102" s="78"/>
      <c r="AR102" s="79"/>
      <c r="AS102" s="78" t="str">
        <f t="array" ref="AS102">INDEX(R_ObjEsp__Prod,MATCH(H102,L_ObjEsp,0))</f>
        <v>#N/A</v>
      </c>
      <c r="AT102" s="80"/>
      <c r="AU102" s="80"/>
      <c r="AV102" s="80"/>
      <c r="AW102" s="80"/>
      <c r="AX102" s="79"/>
      <c r="AY102" s="78" t="str">
        <f t="array" ref="AY102">INDEX(R_Pro__Act,MATCH(I102,L_Prod,0))</f>
        <v>#N/A</v>
      </c>
      <c r="AZ102" s="80"/>
      <c r="BA102" s="80"/>
      <c r="BB102" s="80"/>
      <c r="BC102" s="80"/>
      <c r="BD102" s="80"/>
      <c r="BE102" s="79"/>
      <c r="BF102" s="79"/>
      <c r="BG102" s="79"/>
      <c r="BH102" s="79"/>
      <c r="BI102" s="79"/>
      <c r="BJ102" s="79"/>
      <c r="BK102" s="79"/>
      <c r="BL102" s="79"/>
      <c r="BM102" s="79"/>
    </row>
    <row r="103" ht="15.75" customHeight="1">
      <c r="A103" s="44"/>
      <c r="B103" s="44"/>
      <c r="C103" s="103"/>
      <c r="D103" s="44"/>
      <c r="E103" s="44"/>
      <c r="F103" s="44"/>
      <c r="G103" s="44"/>
      <c r="H103" s="44"/>
      <c r="I103" s="44"/>
      <c r="J103" s="44"/>
      <c r="K103" s="44"/>
      <c r="L103" s="104"/>
      <c r="M103" s="104"/>
      <c r="N103" s="104"/>
      <c r="O103" s="105"/>
      <c r="P103" s="105"/>
      <c r="Q103" s="44"/>
      <c r="R103" s="104"/>
      <c r="S103" s="104"/>
      <c r="T103" s="105"/>
      <c r="U103" s="105"/>
      <c r="V103" s="105"/>
      <c r="W103" s="105"/>
      <c r="X103" s="44"/>
      <c r="Y103" s="104"/>
      <c r="Z103" s="104"/>
      <c r="AA103" s="104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6"/>
      <c r="AM103" s="107"/>
    </row>
  </sheetData>
  <customSheetViews>
    <customSheetView guid="{53D55F53-C764-4421-A3EC-48DE59138C30}" filter="1" showAutoFilter="1">
      <autoFilter ref="$D$2:$BF$102"/>
    </customSheetView>
  </customSheetViews>
  <conditionalFormatting sqref="P3">
    <cfRule type="expression" dxfId="0" priority="1">
      <formula>SUM(T3:W3)&lt;&gt;P3</formula>
    </cfRule>
  </conditionalFormatting>
  <conditionalFormatting sqref="P4:P100 P102">
    <cfRule type="expression" dxfId="0" priority="2">
      <formula>SUM(T4:W4)&lt;&gt;P4</formula>
    </cfRule>
  </conditionalFormatting>
  <conditionalFormatting sqref="P101">
    <cfRule type="expression" dxfId="0" priority="3">
      <formula>SUM(T101:W101)&lt;&gt;P101</formula>
    </cfRule>
  </conditionalFormatting>
  <dataValidations>
    <dataValidation type="list" allowBlank="1" sqref="AF3:AF102">
      <formula1>l_Poli</formula1>
    </dataValidation>
    <dataValidation type="custom" allowBlank="1" showDropDown="1" sqref="AL3:AL102">
      <formula1>OR(NOT(ISERROR(DATEVALUE(AL3))), AND(ISNUMBER(AL3), LEFT(CELL("format", AL3))="D"))</formula1>
    </dataValidation>
    <dataValidation type="list" allowBlank="1" sqref="S3:S102">
      <formula1>L_Ind_Peri</formula1>
    </dataValidation>
    <dataValidation type="list" allowBlank="1" sqref="AG3:AG102">
      <formula1>l_ODS</formula1>
    </dataValidation>
    <dataValidation type="list" allowBlank="1" sqref="D3:D102">
      <formula1>L_Area</formula1>
    </dataValidation>
    <dataValidation type="list" allowBlank="1" showInputMessage="1" showErrorMessage="1" prompt="Seleccionar producto valido para el proyecto" sqref="J3:J102">
      <formula1>AY3:BD3</formula1>
    </dataValidation>
    <dataValidation type="list" allowBlank="1" showInputMessage="1" showErrorMessage="1" prompt="Seleccionar producto valido para el proyecto" sqref="H3:H102">
      <formula1>AO3:AQ3</formula1>
    </dataValidation>
    <dataValidation type="list" allowBlank="1" sqref="L3:L102">
      <formula1>L_Cat</formula1>
    </dataValidation>
    <dataValidation type="list" allowBlank="1" sqref="AC3:AC102">
      <formula1>l_Clas</formula1>
    </dataValidation>
    <dataValidation type="list" allowBlank="1" sqref="AE3:AE102">
      <formula1>l_Dim</formula1>
    </dataValidation>
    <dataValidation type="list" allowBlank="1" sqref="AK3:AK13 AJ14:AK14 AK15:AK102">
      <formula1>#REF!</formula1>
    </dataValidation>
    <dataValidation type="list" allowBlank="1" sqref="E3:E102">
      <formula1>L_Proy</formula1>
    </dataValidation>
    <dataValidation type="list" allowBlank="1" sqref="K3:K102">
      <formula1>L_Ind_Tipo</formula1>
    </dataValidation>
    <dataValidation type="list" allowBlank="1" sqref="AH3:AH102">
      <formula1>L_Dere</formula1>
    </dataValidation>
    <dataValidation type="list" allowBlank="1" showErrorMessage="1" sqref="C3:C102">
      <formula1>L_Proc</formula1>
    </dataValidation>
    <dataValidation type="list" allowBlank="1" sqref="M3:M102">
      <formula1>L_Uni</formula1>
    </dataValidation>
    <dataValidation type="list" allowBlank="1" sqref="AD3:AD102">
      <formula1>l_ObjIns</formula1>
    </dataValidation>
    <dataValidation type="list" allowBlank="1" showInputMessage="1" showErrorMessage="1" prompt="Seleccionar producto valido para el proyecto" sqref="I3:I102">
      <formula1>AS3:AW3</formula1>
    </dataValidation>
  </dataValidations>
  <printOptions/>
  <pageMargins bottom="0.75" footer="0.0" header="0.0" left="0.7" right="0.7" top="0.75"/>
  <pageSetup orientation="landscape"/>
  <drawing r:id="rId1"/>
</worksheet>
</file>